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16.xml" ContentType="application/vnd.openxmlformats-officedocument.spreadsheetml.worksheet+xml"/>
  <Override PartName="/xl/worksheets/sheet10.xml" ContentType="application/vnd.openxmlformats-officedocument.spreadsheetml.worksheet+xml"/>
  <Override PartName="/xl/worksheets/sheet5.xml" ContentType="application/vnd.openxmlformats-officedocument.spreadsheetml.worksheet+xml"/>
  <Override PartName="/xl/worksheets/sheet15.xml" ContentType="application/vnd.openxmlformats-officedocument.spreadsheetml.worksheet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7.xml" ContentType="application/vnd.openxmlformats-officedocument.spreadsheetml.worksheet+xml"/>
  <Override PartName="/xl/worksheets/sheet13.xml" ContentType="application/vnd.openxmlformats-officedocument.spreadsheetml.worksheet+xml"/>
  <Override PartName="/xl/worksheets/sheet8.xml" ContentType="application/vnd.openxmlformats-officedocument.spreadsheetml.worksheet+xml"/>
  <Override PartName="/xl/worksheets/sheet14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 lockStructure="1"/>
  <bookViews>
    <workbookView showHorizontalScroll="true" showVerticalScroll="true" showSheetTabs="true" xWindow="0" yWindow="0" windowWidth="16384" windowHeight="8192" tabRatio="500" firstSheet="0" activeTab="0"/>
  </bookViews>
  <sheets>
    <sheet name="Mapa" sheetId="1" state="visible" r:id="rId3"/>
    <sheet name="Supuestos" sheetId="2" state="visible" r:id="rId4"/>
    <sheet name="Ingresos" sheetId="3" state="visible" r:id="rId5"/>
    <sheet name="Gastos" sheetId="4" state="visible" r:id="rId6"/>
    <sheet name="CAPEX" sheetId="5" state="visible" r:id="rId7"/>
    <sheet name="KTNO" sheetId="6" state="visible" r:id="rId8"/>
    <sheet name="Deuda" sheetId="7" state="visible" r:id="rId9"/>
    <sheet name="Modelo" sheetId="8" state="visible" r:id="rId10"/>
    <sheet name="PC" sheetId="9" state="visible" r:id="rId11"/>
    <sheet name="WACC" sheetId="10" state="visible" r:id="rId12"/>
    <sheet name="Valoracion" sheetId="11" state="visible" r:id="rId13"/>
    <sheet name="Multiplos" sheetId="12" state="visible" r:id="rId14"/>
    <sheet name="Indicadores" sheetId="13" state="visible" r:id="rId15"/>
    <sheet name="Sensibilidad" sheetId="14" state="visible" r:id="rId16"/>
    <sheet name="Controles" sheetId="15" state="visible" r:id="rId17"/>
    <sheet name="Resumen" sheetId="16" state="visible" r:id="rId1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<sst xmlns="http://schemas.openxmlformats.org/spreadsheetml/2006/main" count="866" uniqueCount="567">
  <si>
    <t xml:space="preserve">MAPA DEL MODELO — Versión 1 · estándar FAST, escalable a cualquier tamaño de empresa</t>
  </si>
  <si>
    <t xml:space="preserve">Convenciones FAST</t>
  </si>
  <si>
    <t xml:space="preserve">Misma columna = mismo año en todas las hojas (E=Año 0 … K=Año 6 N). Una fila = un cálculo. Sin constantes escondidas: los valores técnicos (días del año, pasos de la matriz, tolerancias, umbrales) viven en la sección de parámetros técnicos de Supuestos.</t>
  </si>
  <si>
    <t xml:space="preserve">Código de colores</t>
  </si>
  <si>
    <t xml:space="preserve">Azul = input editable · Negro = fórmula · Verde = link entre hojas · Gris = información/etiqueta · Rojo = error o revisión · Fondo amarillo = supuesto clave por validar al corte.</t>
  </si>
  <si>
    <t xml:space="preserve">Protección y validación</t>
  </si>
  <si>
    <t xml:space="preserve">Las hojas están protegidas sin contraseña: solo las celdas azules quedan desbloqueadas; para mantenimiento, desproteger desde Revisar → Desproteger hoja. Las entradas críticas llevan validación de datos con listas, rangos y mensajes.</t>
  </si>
  <si>
    <t xml:space="preserve">Dónde viven los supuestos</t>
  </si>
  <si>
    <t xml:space="preserve">Los supuestos operativos principales se administran en la hoja Supuestos. Los parámetros de mercado del costo de capital, la evaluación cualitativa (PC) y los comparables se gestionan en sus respectivas hojas especializadas, siempre en celdas azules.</t>
  </si>
  <si>
    <t xml:space="preserve">Escalabilidad</t>
  </si>
  <si>
    <t xml:space="preserve">Hasta 5 segmentos de ingreso (precio, volumen y margen propios), 3 tramos de deuda (monto, plazo, gracia, tasa) y escala de unidades (COP → miles de millones): los bloques en cero no afectan el resultado.</t>
  </si>
  <si>
    <t xml:space="preserve">Organización</t>
  </si>
  <si>
    <t xml:space="preserve">El modelo está organizado por módulos interdependientes, sin circularidades, con un flujo principal de supuestos → proyección (Ingresos, Gastos, CAPEX, KTNO, Deuda) → estados integrados (Modelo) → costo de capital (PC, WACC) → valoración (Valoracion, Multiplos) → análisis (Indicadores, Sensibilidad) → controles y resultados (Controles, Resumen). La fila de plazo compatible en Deuda lee el FCLO del Modelo como diagnóstico documentado.</t>
  </si>
  <si>
    <t xml:space="preserve">Impuestos y FCLO</t>
  </si>
  <si>
    <t xml:space="preserve">El FCLO es independiente de la estructura de capital: el efecto neto de intereses y escudo fiscal utilizable —GF + T·(EBIT − MAX(UAI;0))— viaja en el bloque financiero como reconciliación entre el NOPAT y la caja, nunca dentro del FCLO.</t>
  </si>
  <si>
    <t xml:space="preserve">Valor terminal</t>
  </si>
  <si>
    <t xml:space="preserve">Año 6 (N) puente normalizado: crece a g y su CAPEX es el sostenible (Dep + g·AFN)/(1−1/VU). Dos métodos con selector: Gordon FCLO₆/(WACC−g) y value driver NOPAT₆·(1−g/ROIC)/(WACC−g).</t>
  </si>
  <si>
    <t xml:space="preserve">Convención de descuento</t>
  </si>
  <si>
    <t xml:space="preserve">Selector fin de año / mid-year (Supuestos!D9); la matriz de sensibilidad usa la misma convención y renormaliza el Año 6 para cada g.</t>
  </si>
  <si>
    <t xml:space="preserve">Controles</t>
  </si>
  <si>
    <t xml:space="preserve">La hoja Controles concentra 40 semáforos con estados OK / REVISAR / ERROR y tolerancias paramétricas. En el escenario adverso, varios REVISAR son alertas esperadas del caso de referencia.</t>
  </si>
  <si>
    <t xml:space="preserve">Caso de referencia</t>
  </si>
  <si>
    <t xml:space="preserve">Con los supuestos por defecto, el modelo entrega: EV base 17.061,38 · optimista 34.297,1 · adverso 437,7 (millones de COP).</t>
  </si>
  <si>
    <t xml:space="preserve">SUPUESTOS — parámetros operativos y técnicos principales</t>
  </si>
  <si>
    <t xml:space="preserve">Azul = input · Negro = fórmula · Verde = link entre hojas · Gris = información · Rojo = revisión · Fondo amarillo = clave</t>
  </si>
  <si>
    <t xml:space="preserve">Escenario activo (1=Base, 2=Optimista, 3=Adverso)</t>
  </si>
  <si>
    <t xml:space="preserve">Escala de cifras (1=COP, 2=Miles, 3=Millones, 4=Miles de millones)</t>
  </si>
  <si>
    <t xml:space="preserve">Etiqueta de unidad (automática)</t>
  </si>
  <si>
    <t xml:space="preserve">Factor a COP (automática)</t>
  </si>
  <si>
    <t xml:space="preserve">Método de valor terminal (1=Gordon FCLO6, 2=Value driver ROIC objetivo)</t>
  </si>
  <si>
    <t xml:space="preserve">Convención de descuento (1=fin de año, 2=mid-year)</t>
  </si>
  <si>
    <t xml:space="preserve">A · INDUCTORES POR SEGMENTO Y ESCENARIO</t>
  </si>
  <si>
    <t xml:space="preserve">Base</t>
  </si>
  <si>
    <t xml:space="preserve">Optimista</t>
  </si>
  <si>
    <t xml:space="preserve">Adverso</t>
  </si>
  <si>
    <t xml:space="preserve">ACTIVO</t>
  </si>
  <si>
    <t xml:space="preserve">Segmento 1 — Ventas Año 0</t>
  </si>
  <si>
    <t xml:space="preserve">$</t>
  </si>
  <si>
    <t xml:space="preserve">Segmento 1 — crecimiento de precios</t>
  </si>
  <si>
    <t xml:space="preserve">Segmento 1 — crecimiento de volumen</t>
  </si>
  <si>
    <t xml:space="preserve">Segmento 1 — margen bruto</t>
  </si>
  <si>
    <t xml:space="preserve">Segmento 2 — Ventas Año 0</t>
  </si>
  <si>
    <t xml:space="preserve">Segmento 2 — crecimiento de precios</t>
  </si>
  <si>
    <t xml:space="preserve">Segmento 2 — crecimiento de volumen</t>
  </si>
  <si>
    <t xml:space="preserve">Segmento 2 — margen bruto</t>
  </si>
  <si>
    <t xml:space="preserve">Segmento 3 — Ventas Año 0</t>
  </si>
  <si>
    <t xml:space="preserve">Segmento 3 — crecimiento de precios</t>
  </si>
  <si>
    <t xml:space="preserve">Segmento 3 — crecimiento de volumen</t>
  </si>
  <si>
    <t xml:space="preserve">Segmento 3 — margen bruto</t>
  </si>
  <si>
    <t xml:space="preserve">Segmento 4 — Ventas Año 0</t>
  </si>
  <si>
    <t xml:space="preserve">Segmento 4 — crecimiento de precios</t>
  </si>
  <si>
    <t xml:space="preserve">Segmento 4 — crecimiento de volumen</t>
  </si>
  <si>
    <t xml:space="preserve">Segmento 4 — margen bruto</t>
  </si>
  <si>
    <t xml:space="preserve">Segmento 5 — Ventas Año 0</t>
  </si>
  <si>
    <t xml:space="preserve">Segmento 5 — crecimiento de precios</t>
  </si>
  <si>
    <t xml:space="preserve">Segmento 5 — crecimiento de volumen</t>
  </si>
  <si>
    <t xml:space="preserve">Segmento 5 — margen bruto</t>
  </si>
  <si>
    <t xml:space="preserve">B · INDUCTORES GENERALES POR ESCENARIO</t>
  </si>
  <si>
    <t xml:space="preserve">Gastos de administración Año 0</t>
  </si>
  <si>
    <t xml:space="preserve">Crecimiento gastos de administración</t>
  </si>
  <si>
    <t xml:space="preserve">%</t>
  </si>
  <si>
    <t xml:space="preserve">Gastos de ventas (% de ventas)</t>
  </si>
  <si>
    <t xml:space="preserve">Días de cartera</t>
  </si>
  <si>
    <t xml:space="preserve">días</t>
  </si>
  <si>
    <t xml:space="preserve">Días de inventario</t>
  </si>
  <si>
    <t xml:space="preserve">Días de proveedores</t>
  </si>
  <si>
    <t xml:space="preserve">CAPEX de expansión anual</t>
  </si>
  <si>
    <t xml:space="preserve">Tasa de interés — Tramo 1 y revólver</t>
  </si>
  <si>
    <t xml:space="preserve">% E.A.</t>
  </si>
  <si>
    <t xml:space="preserve">Crecimiento terminal g</t>
  </si>
  <si>
    <t xml:space="preserve">C · PARÁMETROS GENERALES (una sola columna)</t>
  </si>
  <si>
    <t xml:space="preserve">Vida útil de activos</t>
  </si>
  <si>
    <t xml:space="preserve">años</t>
  </si>
  <si>
    <t xml:space="preserve">CAPEX de mantenimiento anual</t>
  </si>
  <si>
    <t xml:space="preserve">Inversión inicial en activos fijos (Año 0)</t>
  </si>
  <si>
    <t xml:space="preserve">Aporte de capital inicial (Año 0)</t>
  </si>
  <si>
    <t xml:space="preserve">Deuda por tramos (monto · plazo · gracia · tasa)</t>
  </si>
  <si>
    <t xml:space="preserve">Tramo 1 — monto Año 0</t>
  </si>
  <si>
    <t xml:space="preserve">Tramo 1 — plazo</t>
  </si>
  <si>
    <t xml:space="preserve">Tramo 1 — período de gracia</t>
  </si>
  <si>
    <t xml:space="preserve">Tramo 1 — tasa: usa la del escenario (fila superior)</t>
  </si>
  <si>
    <t xml:space="preserve">Tramo 2 — monto Año 0</t>
  </si>
  <si>
    <t xml:space="preserve">Tramo 2 — plazo</t>
  </si>
  <si>
    <t xml:space="preserve">Tramo 2 — período de gracia</t>
  </si>
  <si>
    <t xml:space="preserve">Tramo 2 — tasa</t>
  </si>
  <si>
    <t xml:space="preserve">Tramo 3 — monto Año 0</t>
  </si>
  <si>
    <t xml:space="preserve">Tramo 3 — plazo</t>
  </si>
  <si>
    <t xml:space="preserve">Tramo 3 — período de gracia</t>
  </si>
  <si>
    <t xml:space="preserve">Tramo 3 — tasa</t>
  </si>
  <si>
    <t xml:space="preserve">Tasa de impuestos</t>
  </si>
  <si>
    <t xml:space="preserve">Reserva legal objetivo (% del capital)</t>
  </si>
  <si>
    <t xml:space="preserve">Payout de dividendos (% utilidad t−1)</t>
  </si>
  <si>
    <t xml:space="preserve">Apropiación anual a reserva legal (% utilidad t−1)</t>
  </si>
  <si>
    <t xml:space="preserve">Caja mínima operativa (% de ventas)</t>
  </si>
  <si>
    <t xml:space="preserve">DLOM — descuento por iliquidez</t>
  </si>
  <si>
    <t xml:space="preserve">Número de acciones</t>
  </si>
  <si>
    <t xml:space="preserve">unid.</t>
  </si>
  <si>
    <t xml:space="preserve">Límite del revólver (covenant)</t>
  </si>
  <si>
    <t xml:space="preserve">Cobertura mínima de intereses (covenant)</t>
  </si>
  <si>
    <t xml:space="preserve">x</t>
  </si>
  <si>
    <t xml:space="preserve">Deuda/EBITDA máxima (covenant)</t>
  </si>
  <si>
    <t xml:space="preserve">DSCR mínimo (covenant)</t>
  </si>
  <si>
    <t xml:space="preserve">PIB nominal de largo plazo (techo de g)</t>
  </si>
  <si>
    <t xml:space="preserve">Estándar de valor</t>
  </si>
  <si>
    <t xml:space="preserve">Valor de mercado del 100% del patrimonio</t>
  </si>
  <si>
    <t xml:space="preserve">Fecha de valoración</t>
  </si>
  <si>
    <t xml:space="preserve">Antigüedad máxima de datos de mercado sin declaración</t>
  </si>
  <si>
    <t xml:space="preserve">Techo del ROIC terminal sin justificación adicional</t>
  </si>
  <si>
    <t xml:space="preserve">Nº de parámetros generales obligatorios (config. del control)</t>
  </si>
  <si>
    <t xml:space="preserve">celdas</t>
  </si>
  <si>
    <t xml:space="preserve">D · PARÁMETROS TÉCNICOS DEL MODELO</t>
  </si>
  <si>
    <t xml:space="preserve">Días del año (rotaciones)</t>
  </si>
  <si>
    <t xml:space="preserve">Fracción mid-year (convención 2)</t>
  </si>
  <si>
    <t xml:space="preserve">año</t>
  </si>
  <si>
    <t xml:space="preserve">Paso de WACC en la matriz de sensibilidad</t>
  </si>
  <si>
    <t xml:space="preserve">Paso de g en la matriz de sensibilidad</t>
  </si>
  <si>
    <t xml:space="preserve">Umbral máximo VT/EV</t>
  </si>
  <si>
    <t xml:space="preserve">Tolerancia contable de los controles</t>
  </si>
  <si>
    <t xml:space="preserve">Tolerancia fina (identidades en %)</t>
  </si>
  <si>
    <t xml:space="preserve">Tolerancia del centro de la matriz</t>
  </si>
  <si>
    <t xml:space="preserve">Los selectores del modelo están al inicio de esta hoja (filas 4-9).</t>
  </si>
  <si>
    <t xml:space="preserve">Los parámetros de mercado del WACC, la prima compañía (PC) y los comparables (Multiplos) se administran en sus hojas especializadas, siempre en celdas azules.</t>
  </si>
  <si>
    <t xml:space="preserve">INGRESOS — hasta 5 segmentos de negocio (cada uno con precio, volumen y margen propios)</t>
  </si>
  <si>
    <t xml:space="preserve">Unidad</t>
  </si>
  <si>
    <t xml:space="preserve">Clase</t>
  </si>
  <si>
    <t xml:space="preserve">Año 0</t>
  </si>
  <si>
    <t xml:space="preserve">Año 1</t>
  </si>
  <si>
    <t xml:space="preserve">Año 2</t>
  </si>
  <si>
    <t xml:space="preserve">Año 3</t>
  </si>
  <si>
    <t xml:space="preserve">Año 4</t>
  </si>
  <si>
    <t xml:space="preserve">Año 5</t>
  </si>
  <si>
    <t xml:space="preserve">Año 6 (N)</t>
  </si>
  <si>
    <t xml:space="preserve">Segmento 1 · crecimiento nominal = (1+p)(1+v)−1</t>
  </si>
  <si>
    <t xml:space="preserve">Segmento 1 · ventas</t>
  </si>
  <si>
    <t xml:space="preserve">Segmento 1 · costo de ventas (margen 1)</t>
  </si>
  <si>
    <t xml:space="preserve">Segmento 2 · crecimiento nominal = (1+p)(1+v)−1</t>
  </si>
  <si>
    <t xml:space="preserve">Segmento 2 · ventas</t>
  </si>
  <si>
    <t xml:space="preserve">Segmento 2 · costo de ventas (margen 2)</t>
  </si>
  <si>
    <t xml:space="preserve">Segmento 3 · crecimiento nominal = (1+p)(1+v)−1</t>
  </si>
  <si>
    <t xml:space="preserve">Segmento 3 · ventas</t>
  </si>
  <si>
    <t xml:space="preserve">Segmento 3 · costo de ventas (margen 3)</t>
  </si>
  <si>
    <t xml:space="preserve">Segmento 4 · crecimiento nominal = (1+p)(1+v)−1</t>
  </si>
  <si>
    <t xml:space="preserve">Segmento 4 · ventas</t>
  </si>
  <si>
    <t xml:space="preserve">Segmento 4 · costo de ventas (margen 4)</t>
  </si>
  <si>
    <t xml:space="preserve">Segmento 5 · crecimiento nominal = (1+p)(1+v)−1</t>
  </si>
  <si>
    <t xml:space="preserve">Segmento 5 · ventas</t>
  </si>
  <si>
    <t xml:space="preserve">Segmento 5 · costo de ventas (margen 5)</t>
  </si>
  <si>
    <t xml:space="preserve">(=) VENTAS TOTALES</t>
  </si>
  <si>
    <t xml:space="preserve">(=) COSTO DE VENTAS TOTAL</t>
  </si>
  <si>
    <t xml:space="preserve">(=) Utilidad bruta</t>
  </si>
  <si>
    <t xml:space="preserve">Los segmentos en cero no afectan el modelo. El Año 6 (N) crece a la tasa terminal g en todos los segmentos.</t>
  </si>
  <si>
    <t xml:space="preserve">GASTOS OPERATIVOS</t>
  </si>
  <si>
    <t xml:space="preserve">(−) Gastos de administración</t>
  </si>
  <si>
    <t xml:space="preserve">(−) Gastos de ventas (% de ventas)</t>
  </si>
  <si>
    <t xml:space="preserve">El Año 6 (N) de administración crece a la tasa terminal g (año puente normalizado).</t>
  </si>
  <si>
    <t xml:space="preserve">CAPEX Y ACTIVOS FIJOS — roll-forward y depreciación por cohortes</t>
  </si>
  <si>
    <t xml:space="preserve">CAPEX de mantenimiento (Año 6 = sostenible)</t>
  </si>
  <si>
    <t xml:space="preserve">CAPEX de expansión</t>
  </si>
  <si>
    <t xml:space="preserve">(=) CAPEX total</t>
  </si>
  <si>
    <t xml:space="preserve">CAPEX</t>
  </si>
  <si>
    <t xml:space="preserve">Depreciación por cohorte (línea recta, vida útil)</t>
  </si>
  <si>
    <t xml:space="preserve">Cohorte Año 0</t>
  </si>
  <si>
    <t xml:space="preserve">Cohorte Año 1</t>
  </si>
  <si>
    <t xml:space="preserve">Cohorte Año 2</t>
  </si>
  <si>
    <t xml:space="preserve">Cohorte Año 3</t>
  </si>
  <si>
    <t xml:space="preserve">Cohorte Año 4</t>
  </si>
  <si>
    <t xml:space="preserve">Cohorte Año 5</t>
  </si>
  <si>
    <t xml:space="preserve">Cohorte Año 6</t>
  </si>
  <si>
    <t xml:space="preserve">(=) Depreciación del período</t>
  </si>
  <si>
    <t xml:space="preserve">Activo fijo bruto</t>
  </si>
  <si>
    <t xml:space="preserve">(−) Depreciación acumulada</t>
  </si>
  <si>
    <t xml:space="preserve">(=) Activo fijo neto</t>
  </si>
  <si>
    <t xml:space="preserve">CAPEX Año 6 = (depreciación de cohortes vivas + g×AFN)/(1−1/VU): repone y financia el crecimiento perpetuo.</t>
  </si>
  <si>
    <t xml:space="preserve">CAPITAL DE TRABAJO NETO OPERATIVO — por días de rotación</t>
  </si>
  <si>
    <t xml:space="preserve">Cuentas por cobrar (cartera)</t>
  </si>
  <si>
    <t xml:space="preserve">WK</t>
  </si>
  <si>
    <t xml:space="preserve">Inventarios (sobre costo)</t>
  </si>
  <si>
    <t xml:space="preserve">(+) Compras (memo) = costo + Δinventario</t>
  </si>
  <si>
    <t xml:space="preserve">Proveedores (sobre compras)</t>
  </si>
  <si>
    <t xml:space="preserve">(=) KTNO</t>
  </si>
  <si>
    <t xml:space="preserve">(=) Δ KTNO</t>
  </si>
  <si>
    <t xml:space="preserve">Proveedores se calcula sobre compras (costo + Δinventario), no sobre ventas: evita inflar la financiación espontánea.</t>
  </si>
  <si>
    <t xml:space="preserve">DEUDA A TÉRMINO — hasta 3 tramos (el revólver se gestiona en Modelo)</t>
  </si>
  <si>
    <t xml:space="preserve">Tramo 1 · saldo inicial</t>
  </si>
  <si>
    <t xml:space="preserve">OB</t>
  </si>
  <si>
    <t xml:space="preserve">Tramo 1 · (−) amortización</t>
  </si>
  <si>
    <t xml:space="preserve">Tramo 1 · (=) saldo final</t>
  </si>
  <si>
    <t xml:space="preserve">Tramo 1 · intereses (saldo inicial)</t>
  </si>
  <si>
    <t xml:space="preserve">Tramo 2 · saldo inicial</t>
  </si>
  <si>
    <t xml:space="preserve">Tramo 2 · (−) amortización</t>
  </si>
  <si>
    <t xml:space="preserve">Tramo 2 · (=) saldo final</t>
  </si>
  <si>
    <t xml:space="preserve">Tramo 2 · intereses (saldo inicial)</t>
  </si>
  <si>
    <t xml:space="preserve">Tramo 3 · saldo inicial</t>
  </si>
  <si>
    <t xml:space="preserve">Tramo 3 · (−) amortización</t>
  </si>
  <si>
    <t xml:space="preserve">Tramo 3 · (=) saldo final</t>
  </si>
  <si>
    <t xml:space="preserve">Tramo 3 · intereses (saldo inicial)</t>
  </si>
  <si>
    <t xml:space="preserve">(=) Amortización total</t>
  </si>
  <si>
    <t xml:space="preserve">(=) Intereses totales del término</t>
  </si>
  <si>
    <t xml:space="preserve">(=) Saldo total a término</t>
  </si>
  <si>
    <t xml:space="preserve">Deuda total Año 0 (Σ tramos)</t>
  </si>
  <si>
    <t xml:space="preserve">Plazo compatible con la caja (Deuda0 / FCLO promedio 1-5)</t>
  </si>
  <si>
    <t xml:space="preserve">Interés sobre saldo inicial: elimina la circularidad interés–caja–deuda. Tasa del Tramo 1 y del revólver = escenario.</t>
  </si>
  <si>
    <t xml:space="preserve">MODELO — Estados financieros integrados (cierre por contrapartida)</t>
  </si>
  <si>
    <t xml:space="preserve">Ventas</t>
  </si>
  <si>
    <t xml:space="preserve">(−) Costo de ventas</t>
  </si>
  <si>
    <t xml:space="preserve">(−) Gastos de ventas</t>
  </si>
  <si>
    <t xml:space="preserve">(=) EBITDA</t>
  </si>
  <si>
    <t xml:space="preserve">(−) Depreciación</t>
  </si>
  <si>
    <t xml:space="preserve">(=) EBIT</t>
  </si>
  <si>
    <t xml:space="preserve">(−) Gastos financieros</t>
  </si>
  <si>
    <t xml:space="preserve">(=) Utilidad antes de impuestos</t>
  </si>
  <si>
    <t xml:space="preserve">(−) Impuestos</t>
  </si>
  <si>
    <t xml:space="preserve">(=) Utilidad neta</t>
  </si>
  <si>
    <t xml:space="preserve">FLUJO DE CAJA (cascada operativo → financiero → accionistas)</t>
  </si>
  <si>
    <t xml:space="preserve">NOPAT = EBIT·(1−T)</t>
  </si>
  <si>
    <t xml:space="preserve">(+) Depreciación</t>
  </si>
  <si>
    <t xml:space="preserve">(−) Δ KTNO</t>
  </si>
  <si>
    <t xml:space="preserve">(−) CAPEX</t>
  </si>
  <si>
    <t xml:space="preserve">(=) FLUJO DE CAJA LIBRE OPERATIVO (FCLO)</t>
  </si>
  <si>
    <t xml:space="preserve">(−) Intereses netos del escudo fiscal utilizable</t>
  </si>
  <si>
    <t xml:space="preserve">(−) Amortización de deuda a término</t>
  </si>
  <si>
    <t xml:space="preserve">(+) Δ Impuestos por pagar</t>
  </si>
  <si>
    <t xml:space="preserve">(=) Caja antes de financiación y dividendos</t>
  </si>
  <si>
    <t xml:space="preserve">(+) Desembolso revólver</t>
  </si>
  <si>
    <t xml:space="preserve">(−) Abono revólver</t>
  </si>
  <si>
    <t xml:space="preserve">(−) Dividendos</t>
  </si>
  <si>
    <t xml:space="preserve">(=) Variación neta de caja</t>
  </si>
  <si>
    <t xml:space="preserve">Caja inicial</t>
  </si>
  <si>
    <t xml:space="preserve">(=) Caja final</t>
  </si>
  <si>
    <t xml:space="preserve">BALANCE GENERAL</t>
  </si>
  <si>
    <t xml:space="preserve">Caja y bancos</t>
  </si>
  <si>
    <t xml:space="preserve">Cuentas por cobrar</t>
  </si>
  <si>
    <t xml:space="preserve">Inventarios</t>
  </si>
  <si>
    <t xml:space="preserve">(=) Activo corriente</t>
  </si>
  <si>
    <t xml:space="preserve">Activo fijo neto</t>
  </si>
  <si>
    <t xml:space="preserve">(=) TOTAL ACTIVO</t>
  </si>
  <si>
    <t xml:space="preserve">Deuda a término</t>
  </si>
  <si>
    <t xml:space="preserve">Revólver / sobregiro</t>
  </si>
  <si>
    <t xml:space="preserve">Proveedores</t>
  </si>
  <si>
    <t xml:space="preserve">Impuestos por pagar</t>
  </si>
  <si>
    <t xml:space="preserve">(=) TOTAL PASIVO</t>
  </si>
  <si>
    <t xml:space="preserve">Capital social</t>
  </si>
  <si>
    <t xml:space="preserve">Reserva legal</t>
  </si>
  <si>
    <t xml:space="preserve">Utilidades retenidas (apertura reconciliada)</t>
  </si>
  <si>
    <t xml:space="preserve">Utilidad del ejercicio</t>
  </si>
  <si>
    <t xml:space="preserve">(=) TOTAL PATRIMONIO</t>
  </si>
  <si>
    <t xml:space="preserve">(memo) Deuda financiera total</t>
  </si>
  <si>
    <t xml:space="preserve">(=) TOTAL PASIVO + PATRIMONIO</t>
  </si>
  <si>
    <t xml:space="preserve">CONTROL: Activo − (Pasivo+Patrimonio) → 0</t>
  </si>
  <si>
    <t xml:space="preserve">(memo) Apropiación a reserva legal del año</t>
  </si>
  <si>
    <t xml:space="preserve">La caja del balance ES la caja final del flujo; la utilidad fluye al patrimonio; el CONTROL exige cero.</t>
  </si>
  <si>
    <t xml:space="preserve">PRIMA COMPAÑÍA (Pc) — metodología build-up interna, configurable</t>
  </si>
  <si>
    <t xml:space="preserve">Escala: 0 (menor riesgo) a 4 (mayor riesgo) por factor. La conversión lineal puntaje→prima es una convención metodológica interna, no una verdad universal: es configurable y debe declararse.</t>
  </si>
  <si>
    <t xml:space="preserve">Cuidado con el doble conteo: la beta sectorial ya captura riesgo operativo del sector; el CRP, el riesgo soberano; el DLOM, la iliquidez. Pc solo debe recoger riesgos idiosincrásicos no capturados en ellos.</t>
  </si>
  <si>
    <t xml:space="preserve">Puntaje 0-4</t>
  </si>
  <si>
    <t xml:space="preserve">Evidencia / comentario que soporta la calificación</t>
  </si>
  <si>
    <t xml:space="preserve">1. Tamaño de la compañía</t>
  </si>
  <si>
    <t xml:space="preserve">2. Acceso a capital patrimonial</t>
  </si>
  <si>
    <t xml:space="preserve">3. Acceso a capital financiero</t>
  </si>
  <si>
    <t xml:space="preserve">4. Participación de mercado</t>
  </si>
  <si>
    <t xml:space="preserve">5. Nivel de la gerencia</t>
  </si>
  <si>
    <t xml:space="preserve">6. Dependencia de empleados clave</t>
  </si>
  <si>
    <t xml:space="preserve">7. Capacidad de publicidad/mercadeo</t>
  </si>
  <si>
    <t xml:space="preserve">8. Flexibilidad de líneas de producción</t>
  </si>
  <si>
    <t xml:space="preserve">9. Producción propia</t>
  </si>
  <si>
    <t xml:space="preserve">10. Concentración de proveedores</t>
  </si>
  <si>
    <t xml:space="preserve">11. Concentración de clientes</t>
  </si>
  <si>
    <t xml:space="preserve">12. Economías de escala</t>
  </si>
  <si>
    <t xml:space="preserve">13. Capacidad de distribución</t>
  </si>
  <si>
    <t xml:space="preserve">14. Manejo de información integrada</t>
  </si>
  <si>
    <t xml:space="preserve">15. Sistema de control interno y revisoría</t>
  </si>
  <si>
    <t xml:space="preserve">16. Sistemas de calidad</t>
  </si>
  <si>
    <t xml:space="preserve">17. Riesgo geográfico</t>
  </si>
  <si>
    <t xml:space="preserve">18. Sistema de manejo ambiental</t>
  </si>
  <si>
    <t xml:space="preserve">Número de factores</t>
  </si>
  <si>
    <t xml:space="preserve">Puntaje máximo por factor</t>
  </si>
  <si>
    <t xml:space="preserve">Prima máxima (razón del tope: castigo pleno con todos los factores en máximo)</t>
  </si>
  <si>
    <t xml:space="preserve">Pc = Σ puntajes × Prima máxima / (n factores × puntaje máximo)</t>
  </si>
  <si>
    <t xml:space="preserve">Responsable de la calificación:</t>
  </si>
  <si>
    <t xml:space="preserve">Con todos los puntajes en 0, Pc = 0% y el WACC no cambia. Calificar únicamente con evidencia documentada en la columna D.</t>
  </si>
  <si>
    <t xml:space="preserve">WACC — CAPM en USD convertido a COP, con trazabilidad completa por parámetro</t>
  </si>
  <si>
    <t xml:space="preserve">Corte de información de mercado (= fecha de valoración):</t>
  </si>
  <si>
    <t xml:space="preserve">Valor</t>
  </si>
  <si>
    <t xml:space="preserve">Valor fuente</t>
  </si>
  <si>
    <t xml:space="preserve">Fecha dato</t>
  </si>
  <si>
    <t xml:space="preserve">Fecha public.</t>
  </si>
  <si>
    <t xml:space="preserve">Fuente</t>
  </si>
  <si>
    <t xml:space="preserve">Referencia</t>
  </si>
  <si>
    <t xml:space="preserve">Metodología</t>
  </si>
  <si>
    <t xml:space="preserve">Observación</t>
  </si>
  <si>
    <t xml:space="preserve">Estado</t>
  </si>
  <si>
    <t xml:space="preserve">Tasa libre de riesgo (Rf)</t>
  </si>
  <si>
    <t xml:space="preserve">FRED</t>
  </si>
  <si>
    <t xml:space="preserve">fred.stlouisfed.org/series/DGS10</t>
  </si>
  <si>
    <t xml:space="preserve">UST 10 años, % E.A. USD; cierre del día del corte (el 9-jul fue 4,54%)</t>
  </si>
  <si>
    <t xml:space="preserve">Serie diaria; verificada contra la fuente al corte</t>
  </si>
  <si>
    <t xml:space="preserve">Prima de riesgo de mercado (ERP)</t>
  </si>
  <si>
    <t xml:space="preserve">Damodaran</t>
  </si>
  <si>
    <t xml:space="preserve">pages.stern.nyu.edu/~adamodar (Implied ERP)</t>
  </si>
  <si>
    <t xml:space="preserve">Prima implícita del S&amp;P 500, trailing 12 meses con adjusted payout; variante cash yield: 4,17%</t>
  </si>
  <si>
    <t xml:space="preserve">Actualización mensual; dato del 1-jul vigente al corte</t>
  </si>
  <si>
    <t xml:space="preserve">Calificación soberana Moody's (M/E, LP)</t>
  </si>
  <si>
    <t xml:space="preserve">Baa3</t>
  </si>
  <si>
    <t xml:space="preserve">Moody's</t>
  </si>
  <si>
    <t xml:space="preserve">Comunicado de acción de calificación del 26-jun-2025 (Baa2→Baa3, estable)</t>
  </si>
  <si>
    <t xml:space="preserve">Estado vigente hasta nueva acción; la fecha del dato es la de la acción, no la de consulta</t>
  </si>
  <si>
    <t xml:space="preserve">Vigente verificado al corte (10-jul-2026); único grado de inversión restante</t>
  </si>
  <si>
    <t xml:space="preserve">Calificación soberana S&amp;P (M/E, LP)</t>
  </si>
  <si>
    <t xml:space="preserve">BB-</t>
  </si>
  <si>
    <t xml:space="preserve">S&amp;P Global Ratings</t>
  </si>
  <si>
    <t xml:space="preserve">Research Update del 8-abr-2026 (BB→BB-, estable)</t>
  </si>
  <si>
    <t xml:space="preserve">Estado vigente hasta nueva acción; la fecha del dato es la de la acción</t>
  </si>
  <si>
    <t xml:space="preserve">Vigente verificado al corte (10-jul-2026)</t>
  </si>
  <si>
    <t xml:space="preserve">Calificación soberana Fitch (M/E, LP)</t>
  </si>
  <si>
    <t xml:space="preserve">BB</t>
  </si>
  <si>
    <t xml:space="preserve">Fitch Ratings</t>
  </si>
  <si>
    <t xml:space="preserve">Rating Action Commentary de dic-2025 (BB+→BB, estable); se registra el primer día del mes: precisar el día del comunicado</t>
  </si>
  <si>
    <t xml:space="preserve">Spread soberano (default spread)</t>
  </si>
  <si>
    <t xml:space="preserve">ctryprem (Country Default Spreads)</t>
  </si>
  <si>
    <t xml:space="preserve">Spread de incumplimiento por calificación; la tabla de la fuente usa Baa3 como base para Colombia</t>
  </si>
  <si>
    <t xml:space="preserve">La fuente anuncia actualización del 1-jul-2026; a la fecha de consulta (18-jul) su dataset descargable (ctryprem.xlsx) aún sirve la tabla de ene-2026, que es la aquí usada. Incorporar la de julio cuando el dataset la refleje</t>
  </si>
  <si>
    <t xml:space="preserve">Riesgo país (CRP Colombia)</t>
  </si>
  <si>
    <t xml:space="preserve">ctryprem (Country Risk Premiums)</t>
  </si>
  <si>
    <t xml:space="preserve">Default spread × volatilidad relativa de acciones (λ ≈ 1,52): 1,87% × 1,52 = 2,85%</t>
  </si>
  <si>
    <t xml:space="preserve">Corte histórico de ene-2026: única tabla verificable en los artefactos de datos pese al anuncio de la actualización del 1-jul. Estado REVISAR por diseño mientras dure el conflicto; verificar contra el archivo oficial de julio antes de usar</t>
  </si>
  <si>
    <t xml:space="preserve">REVISAR</t>
  </si>
  <si>
    <t xml:space="preserve">Beta desapalancada corregida por caja (βu)</t>
  </si>
  <si>
    <t xml:space="preserve">Betas by Sector (US)</t>
  </si>
  <si>
    <t xml:space="preserve">Fila «Retail (Distributors)», universo EE. UU. (62 firmas): desapalancada 0,78; corregida por caja 0,80. Se usa la corregida, recomendación de la fuente para pure-play</t>
  </si>
  <si>
    <t xml:space="preserve">Actualización anual (enero) declarada. Representatividad: mezcla comercial del caso; en una valoración real, sustituir por la fila del sector y justificar</t>
  </si>
  <si>
    <t xml:space="preserve">Relación D/E objetivo</t>
  </si>
  <si>
    <t xml:space="preserve">Decisión de estructura</t>
  </si>
  <si>
    <t xml:space="preserve">Política financiera</t>
  </si>
  <si>
    <t xml:space="preserve">Estructura objetivo de largo plazo; pesos algebraicos, no contables</t>
  </si>
  <si>
    <t xml:space="preserve">Kd contractual ponderado (tramos vigentes)</t>
  </si>
  <si>
    <t xml:space="preserve">Promedio ponderado por monto de las tasas pactadas; informativo</t>
  </si>
  <si>
    <t xml:space="preserve">Costo marginal de la deuda (Kd del WACC)</t>
  </si>
  <si>
    <t xml:space="preserve">Supuesto interno de escenario (Supuestos, tramo 1)</t>
  </si>
  <si>
    <t xml:space="preserve">Tasa del tramo 1 del escenario activo — proxy del costo marginal</t>
  </si>
  <si>
    <t xml:space="preserve">El WACC usa el costo marginal, no el contractual. En el caso de referencia el marginal es un supuesto interno: la tasa del tramo 1 del escenario. En una valoración real debe ser una cotización independiente con banco, plazo, moneda, garantía y fecha de oferta documentados, o tasa base más spread crediticio atado a rating, Deuda/EBITDA, cobertura y plazo</t>
  </si>
  <si>
    <t xml:space="preserve">Reconciliación interna no independiente: el valor fuente replica el mismo vínculo. Estado REVISAR por diseño: proxy sin evidencia de mercado independiente; la independencia exige la cotización externa</t>
  </si>
  <si>
    <t xml:space="preserve">Tasa de impuestos (T)</t>
  </si>
  <si>
    <t xml:space="preserve">Hoja Supuestos</t>
  </si>
  <si>
    <t xml:space="preserve">Tarifa estatutaria vigente</t>
  </si>
  <si>
    <t xml:space="preserve">Beta re-apalancada βL = βu·(1+(1−T)·D/E)</t>
  </si>
  <si>
    <t xml:space="preserve">Hamada</t>
  </si>
  <si>
    <t xml:space="preserve">Prima compañía Pc (18 factores)</t>
  </si>
  <si>
    <t xml:space="preserve">Hoja PC</t>
  </si>
  <si>
    <t xml:space="preserve">0% salvo evidencia documentada</t>
  </si>
  <si>
    <t xml:space="preserve">Ke USD = Rf + βL·ERP + CRP + Pc</t>
  </si>
  <si>
    <t xml:space="preserve">% E.A. USD</t>
  </si>
  <si>
    <t xml:space="preserve">Meta de inflación Colombia (π COL)</t>
  </si>
  <si>
    <t xml:space="preserve">Banco de la República</t>
  </si>
  <si>
    <t xml:space="preserve">banrep.gov.co (esquema de inflación objetivo)</t>
  </si>
  <si>
    <t xml:space="preserve">Meta puntual del esquema de inflación objetivo</t>
  </si>
  <si>
    <t xml:space="preserve">Política vigente verificada al corte</t>
  </si>
  <si>
    <t xml:space="preserve">Meta de inflación EE. UU. (π USA)</t>
  </si>
  <si>
    <t xml:space="preserve">Reserva Federal</t>
  </si>
  <si>
    <t xml:space="preserve">federalreserve.gov (longer-run goals)</t>
  </si>
  <si>
    <t xml:space="preserve">Objetivo de largo plazo sobre el índice PCE</t>
  </si>
  <si>
    <t xml:space="preserve">Devaluación de largo plazo = (1+π COL)/(1+π USA) − 1</t>
  </si>
  <si>
    <t xml:space="preserve">Paridad relativa del poder adquisitivo: diferencial de metas de inflación; fórmula viva, no cifra digitada</t>
  </si>
  <si>
    <t xml:space="preserve">Ke COP = (1+KeUSD)·(1+dev) − 1</t>
  </si>
  <si>
    <t xml:space="preserve">Fisher internacional; % E.A. COP</t>
  </si>
  <si>
    <t xml:space="preserve">Kd después de impuestos</t>
  </si>
  <si>
    <t xml:space="preserve">Peso patrimonio E/V = 1/(1+D/E)</t>
  </si>
  <si>
    <t xml:space="preserve">Peso deuda D/V = (D/E)/(1+D/E)</t>
  </si>
  <si>
    <t xml:space="preserve">WACC = wE·KeCOP + wD·Kd(1−T)</t>
  </si>
  <si>
    <t xml:space="preserve">Cinco niveles de verificación: integridad (celda diligenciada), reconciliación interna (valor = valor fuente transcrito), vigencia (fechas y antigüedad frente al corte; en calificaciones, estado vigente con fecha de acción real y verificación al corte declarada), metodología (el dato representa el concepto) y verificación externa (revisión humana o conexión de datos contra la fuente). La columna Estado atestigua dentro del libro los tres primeros y la declaración del cuarto; el quinto está fuera del alcance de las fórmulas y queda en el registro de fuentes.</t>
  </si>
  <si>
    <t xml:space="preserve">Reglas: flujos nominales COP con tasas nominales COP; el riesgo país se suma una sola vez; toda diferencia de corte se declara en la Observación. La beta viaja con su actualización anual de enero; el spread y el CRP, con la tabla de enero del dataset descargable de la fuente, único verificable a la fecha de consulta pese al anuncio de la actualización de julio.</t>
  </si>
  <si>
    <t xml:space="preserve">VALORACIÓN POR DCF — con Año 6 (N) normalizado como base del terminal</t>
  </si>
  <si>
    <t xml:space="preserve">FCLO (desde Modelo)</t>
  </si>
  <si>
    <t xml:space="preserve">Factor de descuento (según convención)</t>
  </si>
  <si>
    <t xml:space="preserve">VP del FCLO</t>
  </si>
  <si>
    <t xml:space="preserve">VPN del FCLO explícito (Años 1-5)</t>
  </si>
  <si>
    <t xml:space="preserve">g terminal (escenario activo)</t>
  </si>
  <si>
    <t xml:space="preserve">Alerta WACC &gt; g</t>
  </si>
  <si>
    <t xml:space="preserve">Valor terminal (método oficial del selector)</t>
  </si>
  <si>
    <t xml:space="preserve">VP del valor terminal</t>
  </si>
  <si>
    <t xml:space="preserve">(=) ENTERPRISE VALUE</t>
  </si>
  <si>
    <t xml:space="preserve">PUENTE EV → EQUITY  ·  Nivel de valor: participación de control, empresa no listada</t>
  </si>
  <si>
    <t xml:space="preserve">Aporte</t>
  </si>
  <si>
    <t xml:space="preserve">Aplica</t>
  </si>
  <si>
    <t xml:space="preserve">Fecha</t>
  </si>
  <si>
    <t xml:space="preserve">Explicación</t>
  </si>
  <si>
    <t xml:space="preserve">(−) Deuda financiera total (término + revólver, Año 0)</t>
  </si>
  <si>
    <t xml:space="preserve">Sí</t>
  </si>
  <si>
    <t xml:space="preserve">Modelo (balance Año 0)</t>
  </si>
  <si>
    <t xml:space="preserve">Deuda de cierre a la fecha de valoración</t>
  </si>
  <si>
    <t xml:space="preserve">(+) Caja excedentaria sobre la mínima operativa (Año 0)</t>
  </si>
  <si>
    <t xml:space="preserve">La caja mínima es un activo operativo y no cruza el puente</t>
  </si>
  <si>
    <t xml:space="preserve">(−) Interés minoritario</t>
  </si>
  <si>
    <t xml:space="preserve">No</t>
  </si>
  <si>
    <t xml:space="preserve">No aplica en el caso de referencia</t>
  </si>
  <si>
    <t xml:space="preserve">Se declara inexistente en el caso; en una valoración real, documentar la verificación</t>
  </si>
  <si>
    <t xml:space="preserve">(−) Acciones preferentes</t>
  </si>
  <si>
    <t xml:space="preserve">(−) Pasivo pensional neto</t>
  </si>
  <si>
    <t xml:space="preserve">(−) Deuda de arrendamientos</t>
  </si>
  <si>
    <t xml:space="preserve">(−) Provisiones y contingencias</t>
  </si>
  <si>
    <t xml:space="preserve">(+) Inversiones no operativas</t>
  </si>
  <si>
    <t xml:space="preserve">(+) Participaciones en asociadas</t>
  </si>
  <si>
    <t xml:space="preserve">(+) Otros activos no operativos</t>
  </si>
  <si>
    <t xml:space="preserve">(−) Instrumentos dilutivos / opciones</t>
  </si>
  <si>
    <t xml:space="preserve">(=) EQUITY VALUE</t>
  </si>
  <si>
    <t xml:space="preserve">Cada partida del puente exige valor, fuente, fecha y explicación; «Aplica = Sí» la incorpora. No activar DLOM ni prima de control sin justificar el nivel de valor buscado.</t>
  </si>
  <si>
    <t xml:space="preserve">(−) Descuento por iliquidez (DLOM)</t>
  </si>
  <si>
    <t xml:space="preserve">(+) Prima de control (solo con justificación)</t>
  </si>
  <si>
    <t xml:space="preserve">Equity ajustado por nivel de valor</t>
  </si>
  <si>
    <t xml:space="preserve">Valor por acción (unidades del modelo)</t>
  </si>
  <si>
    <t xml:space="preserve">Valor por acción (COP)</t>
  </si>
  <si>
    <t xml:space="preserve">ANÁLISIS DEL AÑO TERMINAL — dos métodos y consistencia</t>
  </si>
  <si>
    <t xml:space="preserve">VT método 1: Gordon = FCLO₆/(WACC−g)</t>
  </si>
  <si>
    <t xml:space="preserve">VT método 2: value driver = NOPAT₆·(1−g/ROICobj)/(WACC−g)</t>
  </si>
  <si>
    <t xml:space="preserve">NOPAT Año 6</t>
  </si>
  <si>
    <t xml:space="preserve">Reinversión Año 6 = NOPAT − FCLO · Tasa de reinversión (IR)</t>
  </si>
  <si>
    <t xml:space="preserve">ROIC objetivo del método 2 (por defecto = WACC)</t>
  </si>
  <si>
    <t xml:space="preserve">ROIC terminal implícito del flujo = g / IR</t>
  </si>
  <si>
    <t xml:space="preserve">Semáforo terminal</t>
  </si>
  <si>
    <t xml:space="preserve">EV — método FCLO del modelo</t>
  </si>
  <si>
    <t xml:space="preserve">EV — método ROIC objetivo</t>
  </si>
  <si>
    <t xml:space="preserve">CAPEX terminal requerido (recon.) vs modelado · brecha en la tercera columna</t>
  </si>
  <si>
    <t xml:space="preserve">MÚLTIPLOS IMPLÍCITOS — EV/EBITDA y EV/Ventas (Año 1)</t>
  </si>
  <si>
    <t xml:space="preserve">MÚLTIPLOS Y TRIANGULACIÓN — comparables verificables o plantilla vacía</t>
  </si>
  <si>
    <t xml:space="preserve">Regla absoluta: sin nombre, fecha, cifra y fuente NO hay comparable. N/M = denominador no significativo · vacío = dato faltante · outlier o no comparable = «Incluir: No» con justificación.</t>
  </si>
  <si>
    <t xml:space="preserve">Empresa</t>
  </si>
  <si>
    <t xml:space="preserve">Ticker</t>
  </si>
  <si>
    <t xml:space="preserve">País</t>
  </si>
  <si>
    <t xml:space="preserve">Moneda</t>
  </si>
  <si>
    <t xml:space="preserve">Fecha mercado</t>
  </si>
  <si>
    <t xml:space="preserve">EV</t>
  </si>
  <si>
    <t xml:space="preserve">Cap. bursátil</t>
  </si>
  <si>
    <t xml:space="preserve">Deuda</t>
  </si>
  <si>
    <t xml:space="preserve">Caja</t>
  </si>
  <si>
    <t xml:space="preserve">EBITDA</t>
  </si>
  <si>
    <t xml:space="preserve">EBIT</t>
  </si>
  <si>
    <t xml:space="preserve">Ut. neta</t>
  </si>
  <si>
    <t xml:space="preserve">EV/EBITDA</t>
  </si>
  <si>
    <t xml:space="preserve">EV/EBIT</t>
  </si>
  <si>
    <t xml:space="preserve">EV/Ventas</t>
  </si>
  <si>
    <t xml:space="preserve">P/E</t>
  </si>
  <si>
    <t xml:space="preserve">Crec. %</t>
  </si>
  <si>
    <t xml:space="preserve">Mg EBITDA</t>
  </si>
  <si>
    <t xml:space="preserve">D/EBITDA</t>
  </si>
  <si>
    <t xml:space="preserve">Incluir</t>
  </si>
  <si>
    <t xml:space="preserve">Justificación de inclusión/exclusión</t>
  </si>
  <si>
    <t xml:space="preserve">aux1</t>
  </si>
  <si>
    <t xml:space="preserve">aux2</t>
  </si>
  <si>
    <t xml:space="preserve">aux3</t>
  </si>
  <si>
    <t xml:space="preserve">Medianas (solo comparables incluidos)</t>
  </si>
  <si>
    <t xml:space="preserve">Comparables incluidos con múltiplo válido</t>
  </si>
  <si>
    <t xml:space="preserve">TRIANGULACIÓN (pesos efectivos renormalizados)</t>
  </si>
  <si>
    <t xml:space="preserve">Valor (EV)</t>
  </si>
  <si>
    <t xml:space="preserve">Peso</t>
  </si>
  <si>
    <t xml:space="preserve">Disponible</t>
  </si>
  <si>
    <t xml:space="preserve">Peso efectivo</t>
  </si>
  <si>
    <t xml:space="preserve">DCF</t>
  </si>
  <si>
    <t xml:space="preserve">Múltiplos de comparables (mediana EV/EBITDA × EBITDA Año 1)</t>
  </si>
  <si>
    <t xml:space="preserve">Suma de pesos efectivos</t>
  </si>
  <si>
    <t xml:space="preserve">Con la tabla vacía el peso efectivo del DCF es 100%: la triangulación nunca promedia contra ceros.</t>
  </si>
  <si>
    <t xml:space="preserve">INDICADORES — rentabilidad, creación de valor y servicio de la deuda</t>
  </si>
  <si>
    <t xml:space="preserve">Margen EBITDA</t>
  </si>
  <si>
    <t xml:space="preserve">Margen neto</t>
  </si>
  <si>
    <t xml:space="preserve">Caja excedentaria (sobre la mínima operativa)</t>
  </si>
  <si>
    <t xml:space="preserve">Capital invertido operativo (fin de año)</t>
  </si>
  <si>
    <t xml:space="preserve">Capital invertido operativo promedio</t>
  </si>
  <si>
    <t xml:space="preserve">ROIC = NOPAT / capital invertido promedio</t>
  </si>
  <si>
    <t xml:space="preserve">Spread ROIC − WACC</t>
  </si>
  <si>
    <t xml:space="preserve">EVA = NOPAT − WACC × capital promedio</t>
  </si>
  <si>
    <t xml:space="preserve">Cobertura de intereses = EBIT / intereses</t>
  </si>
  <si>
    <t xml:space="preserve">Deuda financiera / EBITDA</t>
  </si>
  <si>
    <t xml:space="preserve">Deuda neta / EBITDA</t>
  </si>
  <si>
    <t xml:space="preserve">DSCR = FCLO / (intereses + amortización)</t>
  </si>
  <si>
    <t xml:space="preserve">Bandera: deuda financiera vigente</t>
  </si>
  <si>
    <t xml:space="preserve">ROIC sobre capital invertido operativo promedio: deuda financiera + patrimonio − caja excedentaria; saldos promedio del año.</t>
  </si>
  <si>
    <t xml:space="preserve">Solvencia no es liquidez: una D/EBITDA cómoda puede convivir con un DSCR &lt; 1. El calendario importa tanto como el monto.</t>
  </si>
  <si>
    <t xml:space="preserve">Sin deuda o sin servicio en un año, los indicadores muestran N/A; sin EBITDA positivo, N/M. No se usan valores artificiales.</t>
  </si>
  <si>
    <t xml:space="preserve">SENSIBILIDAD — matriz EV para WACC × g (reconstrucción exacta del DCF)</t>
  </si>
  <si>
    <t xml:space="preserve">El Año 6 se renormaliza para cada g (ventas, gastos, CAPEX sostenible y KTNO); la matriz usa la convención de descuento vigente.</t>
  </si>
  <si>
    <t xml:space="preserve">Auxiliares del Año 6 renormalizado por g</t>
  </si>
  <si>
    <t xml:space="preserve">g evaluado</t>
  </si>
  <si>
    <t xml:space="preserve">Ventas 6</t>
  </si>
  <si>
    <t xml:space="preserve">Costo 6</t>
  </si>
  <si>
    <t xml:space="preserve">Gasto admón. 6</t>
  </si>
  <si>
    <t xml:space="preserve">Gasto ventas 6</t>
  </si>
  <si>
    <t xml:space="preserve">EBITDA 6</t>
  </si>
  <si>
    <t xml:space="preserve">Dep. base 6 (cohortes 0-5)</t>
  </si>
  <si>
    <t xml:space="preserve">CAPEX 6 sostenible</t>
  </si>
  <si>
    <t xml:space="preserve">Dep. total 6</t>
  </si>
  <si>
    <t xml:space="preserve">EBIT 6</t>
  </si>
  <si>
    <t xml:space="preserve">NOPAT 6</t>
  </si>
  <si>
    <t xml:space="preserve">CxC 6</t>
  </si>
  <si>
    <t xml:space="preserve">Inventario 6</t>
  </si>
  <si>
    <t xml:space="preserve">Compras 6</t>
  </si>
  <si>
    <t xml:space="preserve">Proveedores 6</t>
  </si>
  <si>
    <t xml:space="preserve">KTNO 6</t>
  </si>
  <si>
    <t xml:space="preserve">Δ KTNO 6</t>
  </si>
  <si>
    <t xml:space="preserve">FCLO 6</t>
  </si>
  <si>
    <t xml:space="preserve">MATRIZ EV — filas: WACC · columnas: g</t>
  </si>
  <si>
    <t xml:space="preserve">WACC \ g</t>
  </si>
  <si>
    <t xml:space="preserve">Nota: a diferencia de una matriz con FCLO6 fijo (aprox. de 1er orden), aquí el Año 6 se renormaliza por cada g: reconstrucción exacta.</t>
  </si>
  <si>
    <t xml:space="preserve">EV mínimo de la matriz</t>
  </si>
  <si>
    <t xml:space="preserve">EV máximo de la matriz</t>
  </si>
  <si>
    <t xml:space="preserve">Control: centro de la matriz = EV oficial (solo método 1)</t>
  </si>
  <si>
    <t xml:space="preserve">CONTROLES DE CONSISTENCIA — estados OK / REVISAR / ERROR / N/A</t>
  </si>
  <si>
    <t xml:space="preserve">Resultado</t>
  </si>
  <si>
    <t xml:space="preserve">Balance cuadra (Activo = Pasivo + Patrimonio)</t>
  </si>
  <si>
    <t xml:space="preserve">Caja del balance = caja del flujo</t>
  </si>
  <si>
    <t xml:space="preserve">Utilidad neta del P&amp;G = utilidad del ejercicio</t>
  </si>
  <si>
    <t xml:space="preserve">Patrimonio = anterior + utilidad + dividendos</t>
  </si>
  <si>
    <t xml:space="preserve">Deuda del balance = consolidado de tramos</t>
  </si>
  <si>
    <t xml:space="preserve">FCFE reconcilia con FCLO (Años 1-5)</t>
  </si>
  <si>
    <t xml:space="preserve">WACC &gt; g terminal</t>
  </si>
  <si>
    <t xml:space="preserve">g ≤ PIB nominal de largo plazo (techo)</t>
  </si>
  <si>
    <t xml:space="preserve">Valor terminal ≥ 0</t>
  </si>
  <si>
    <t xml:space="preserve">FCFF terminal (Año 6) &gt; 0</t>
  </si>
  <si>
    <t xml:space="preserve">VT/EV entre 0 y el umbral</t>
  </si>
  <si>
    <t xml:space="preserve">ROIC terminal implícito ≥ WACC</t>
  </si>
  <si>
    <t xml:space="preserve">ROIC terminal implícito ≤ techo justificable</t>
  </si>
  <si>
    <t xml:space="preserve">Centro de la matriz = EV (método 1, convención 1)</t>
  </si>
  <si>
    <t xml:space="preserve">Puente EV→Equity completo (Equity = EV + aportes)</t>
  </si>
  <si>
    <t xml:space="preserve">Resumen EV = Valoración EV</t>
  </si>
  <si>
    <t xml:space="preserve">Pesos efectivos de triangulación = 100%</t>
  </si>
  <si>
    <t xml:space="preserve">E/V + D/V = 100% (WACC)</t>
  </si>
  <si>
    <t xml:space="preserve">(D/V)/(E/V) = D/E objetivo</t>
  </si>
  <si>
    <t xml:space="preserve">Trazabilidad WACC: solo los dos REVISAR declarados (CRP y Kd)</t>
  </si>
  <si>
    <t xml:space="preserve">WACC sin estados SIN FUENTE ni ERROR</t>
  </si>
  <si>
    <t xml:space="preserve">Fechas del WACC no posteriores al corte</t>
  </si>
  <si>
    <t xml:space="preserve">Caja nunca negativa</t>
  </si>
  <si>
    <t xml:space="preserve">Caja ≥ mínima operativa todos los años</t>
  </si>
  <si>
    <t xml:space="preserve">Caja = mínima cuando hay revólver (Año 5)</t>
  </si>
  <si>
    <t xml:space="preserve">Revólver ≤ límite (covenant)</t>
  </si>
  <si>
    <t xml:space="preserve">Deuda a término ≥ 0 (todos los tramos)</t>
  </si>
  <si>
    <t xml:space="preserve">Gracia &lt; plazo en cada tramo</t>
  </si>
  <si>
    <t xml:space="preserve">Cobertura de intereses ≥ covenant (Año 1)</t>
  </si>
  <si>
    <t xml:space="preserve">Deuda/EBITDA ≤ covenant (máx Años 1-5)</t>
  </si>
  <si>
    <t xml:space="preserve">DSCR ≥ covenant (mín Años 1-5)</t>
  </si>
  <si>
    <t xml:space="preserve">CAPEX terminal ≥ depreciación terminal</t>
  </si>
  <si>
    <t xml:space="preserve">Depreciación acumulada ≤ activo bruto</t>
  </si>
  <si>
    <t xml:space="preserve">Datos de los tres escenarios completos</t>
  </si>
  <si>
    <t xml:space="preserve">Parámetros generales completos (vs celda de configuración)</t>
  </si>
  <si>
    <t xml:space="preserve">Ventas Año 0 &gt; 0 (al menos un segmento)</t>
  </si>
  <si>
    <t xml:space="preserve">Selectores válidos (escenario, escala, método terminal, convención)</t>
  </si>
  <si>
    <t xml:space="preserve">Coherencia de unidades: factor y etiqueta válidos</t>
  </si>
  <si>
    <t xml:space="preserve">Sin fórmulas sustituidas por valores (rangos de cálculo)</t>
  </si>
  <si>
    <t xml:space="preserve">Sin errores de fórmula (rangos clave)</t>
  </si>
  <si>
    <t xml:space="preserve">40 controles. En el escenario adverso, varios REVISAR son alertas esperadas del caso de referencia. Verificaciones procedimentales de publicación (sin enlaces externos, sin macros, sin hojas ocultas) se ejecutan al empaquetar y constan en el informe interno.</t>
  </si>
  <si>
    <t xml:space="preserve">RESUMEN EJECUTIVO — la valoración en una pantalla</t>
  </si>
  <si>
    <t xml:space="preserve">Escenario activo (se cambia en Supuestos!D4)</t>
  </si>
  <si>
    <t xml:space="preserve">Unidades</t>
  </si>
  <si>
    <t xml:space="preserve">INDICADORES CLAVE (Año 1)</t>
  </si>
  <si>
    <t xml:space="preserve">Utilidad neta</t>
  </si>
  <si>
    <t xml:space="preserve">FCLO</t>
  </si>
  <si>
    <t xml:space="preserve">Caja final</t>
  </si>
  <si>
    <t xml:space="preserve">WACC</t>
  </si>
  <si>
    <t xml:space="preserve">Enterprise Value (DCF)</t>
  </si>
  <si>
    <t xml:space="preserve">Equity Value</t>
  </si>
  <si>
    <t xml:space="preserve">TERMINAL</t>
  </si>
  <si>
    <t xml:space="preserve">EV método FCLO / método ROIC objetivo</t>
  </si>
  <si>
    <t xml:space="preserve">Método oficial elegido</t>
  </si>
  <si>
    <t xml:space="preserve">VT / EV</t>
  </si>
  <si>
    <t xml:space="preserve">ROIC terminal implícito · semáforo</t>
  </si>
  <si>
    <t xml:space="preserve">DEUDA Y SENSIBILIDAD</t>
  </si>
  <si>
    <t xml:space="preserve">DSCR mínimo (Años 1-5)</t>
  </si>
  <si>
    <t xml:space="preserve">Cobertura de intereses mínima</t>
  </si>
  <si>
    <t xml:space="preserve">Uso máximo del revólver (% del límite)</t>
  </si>
  <si>
    <t xml:space="preserve">EV mínimo / máximo (matriz WACC×g)</t>
  </si>
  <si>
    <t xml:space="preserve">LECTURA AUTOMÁTICA DE RIESGOS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</si>
</sst>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0"/>
    <numFmt numFmtId="166" formatCode="#,##0;\(#,##0\);\-"/>
    <numFmt numFmtId="167" formatCode="0.0%"/>
    <numFmt numFmtId="168" formatCode="0.0\x"/>
    <numFmt numFmtId="169" formatCode="dd\-mmm\-yyyy"/>
    <numFmt numFmtId="170" formatCode="0.00"/>
    <numFmt numFmtId="171" formatCode="0.0000"/>
    <numFmt numFmtId="172" formatCode="0.0"/>
    <numFmt numFmtId="173" formatCode="0.00%"/>
    <numFmt numFmtId="174" formatCode="@"/>
    <numFmt numFmtId="175" formatCode="#,##0.00;\(#,##0.00\);\-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16324F"/>
      <name val="Arial"/>
      <family val="0"/>
      <charset val="1"/>
    </font>
    <font>
      <b val="true"/>
      <sz val="10"/>
      <color rgb="FF16324F"/>
      <name val="Arial"/>
      <family val="0"/>
      <charset val="1"/>
    </font>
    <font>
      <i val="true"/>
      <sz val="9"/>
      <color rgb="FF555555"/>
      <name val="Arial"/>
      <family val="0"/>
      <charset val="1"/>
    </font>
    <font>
      <sz val="10"/>
      <color rgb="FF0000FF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8000"/>
      <name val="Arial"/>
      <family val="0"/>
      <charset val="1"/>
    </font>
    <font>
      <b val="true"/>
      <sz val="10"/>
      <color rgb="FFFFFFFF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CE6F1"/>
        <bgColor rgb="FFCCFFFF"/>
      </patternFill>
    </fill>
    <fill>
      <patternFill patternType="solid">
        <fgColor rgb="FF16324F"/>
        <bgColor rgb="FF333333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6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2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8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9" fontId="7" fillId="2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70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71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3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3" fontId="7" fillId="2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73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9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7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73" fontId="9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3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3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5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0B0B0"/>
      <rgbColor rgb="FF808080"/>
      <rgbColor rgb="FF9999FF"/>
      <rgbColor rgb="FF993366"/>
      <rgbColor rgb="FFFFFFCC"/>
      <rgbColor rgb="FFDCE6F1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5555"/>
      <rgbColor rgb="FF969696"/>
      <rgbColor rgb="FF16324F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2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56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11" min="5" style="0" width="12.5"/>
  </cols>
  <sheetData>
    <row r="2" customFormat="false" ht="15" hidden="false" customHeight="false" outlineLevel="0" collapsed="false">
      <c r="B2" s="1" t="s">
        <v>0</v>
      </c>
    </row>
    <row r="4" customFormat="false" ht="15" hidden="false" customHeight="false" outlineLevel="0" collapsed="false">
      <c r="B4" s="2" t="s">
        <v>1</v>
      </c>
    </row>
    <row r="5" customFormat="false" ht="25.5" hidden="false" customHeight="true" outlineLevel="0" collapsed="false">
      <c r="B5" s="3" t="s">
        <v>2</v>
      </c>
    </row>
    <row r="6" customFormat="false" ht="15" hidden="false" customHeight="false" outlineLevel="0" collapsed="false">
      <c r="B6" s="2" t="s">
        <v>3</v>
      </c>
    </row>
    <row r="7" customFormat="false" ht="25.5" hidden="false" customHeight="true" outlineLevel="0" collapsed="false">
      <c r="B7" s="3" t="s">
        <v>4</v>
      </c>
    </row>
    <row r="8" customFormat="false" ht="15" hidden="false" customHeight="false" outlineLevel="0" collapsed="false">
      <c r="B8" s="2" t="s">
        <v>5</v>
      </c>
    </row>
    <row r="9" customFormat="false" ht="25.5" hidden="false" customHeight="true" outlineLevel="0" collapsed="false">
      <c r="B9" s="3" t="s">
        <v>6</v>
      </c>
    </row>
    <row r="10" customFormat="false" ht="15" hidden="false" customHeight="false" outlineLevel="0" collapsed="false">
      <c r="B10" s="2" t="s">
        <v>7</v>
      </c>
    </row>
    <row r="11" customFormat="false" ht="25.5" hidden="false" customHeight="true" outlineLevel="0" collapsed="false">
      <c r="B11" s="3" t="s">
        <v>8</v>
      </c>
    </row>
    <row r="12" customFormat="false" ht="15" hidden="false" customHeight="false" outlineLevel="0" collapsed="false">
      <c r="B12" s="2" t="s">
        <v>9</v>
      </c>
    </row>
    <row r="13" customFormat="false" ht="25.5" hidden="false" customHeight="true" outlineLevel="0" collapsed="false">
      <c r="B13" s="3" t="s">
        <v>10</v>
      </c>
    </row>
    <row r="14" customFormat="false" ht="15" hidden="false" customHeight="false" outlineLevel="0" collapsed="false">
      <c r="B14" s="2" t="s">
        <v>11</v>
      </c>
    </row>
    <row r="15" customFormat="false" ht="25.5" hidden="false" customHeight="true" outlineLevel="0" collapsed="false">
      <c r="B15" s="3" t="s">
        <v>12</v>
      </c>
    </row>
    <row r="16" customFormat="false" ht="15" hidden="false" customHeight="false" outlineLevel="0" collapsed="false">
      <c r="B16" s="2" t="s">
        <v>13</v>
      </c>
    </row>
    <row r="17" customFormat="false" ht="25.5" hidden="false" customHeight="true" outlineLevel="0" collapsed="false">
      <c r="B17" s="3" t="s">
        <v>14</v>
      </c>
    </row>
    <row r="18" customFormat="false" ht="15" hidden="false" customHeight="false" outlineLevel="0" collapsed="false">
      <c r="B18" s="2" t="s">
        <v>15</v>
      </c>
    </row>
    <row r="19" customFormat="false" ht="25.5" hidden="false" customHeight="true" outlineLevel="0" collapsed="false">
      <c r="B19" s="3" t="s">
        <v>16</v>
      </c>
    </row>
    <row r="20" customFormat="false" ht="15" hidden="false" customHeight="false" outlineLevel="0" collapsed="false">
      <c r="B20" s="2" t="s">
        <v>17</v>
      </c>
    </row>
    <row r="21" customFormat="false" ht="25.5" hidden="false" customHeight="true" outlineLevel="0" collapsed="false">
      <c r="B21" s="3" t="s">
        <v>18</v>
      </c>
    </row>
    <row r="22" customFormat="false" ht="15" hidden="false" customHeight="false" outlineLevel="0" collapsed="false">
      <c r="B22" s="2" t="s">
        <v>19</v>
      </c>
    </row>
    <row r="23" customFormat="false" ht="25.5" hidden="false" customHeight="true" outlineLevel="0" collapsed="false">
      <c r="B23" s="3" t="s">
        <v>20</v>
      </c>
    </row>
    <row r="24" customFormat="false" ht="15" hidden="false" customHeight="false" outlineLevel="0" collapsed="false">
      <c r="B24" s="2" t="s">
        <v>21</v>
      </c>
    </row>
    <row r="25" customFormat="false" ht="25.5" hidden="false" customHeight="true" outlineLevel="0" collapsed="false">
      <c r="B25" s="3" t="s">
        <v>22</v>
      </c>
    </row>
  </sheetData>
  <sheetProtection sheet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9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4"/>
    <col collapsed="false" customWidth="true" hidden="false" outlineLevel="0" max="3" min="3" style="0" width="10"/>
    <col collapsed="false" customWidth="true" hidden="false" outlineLevel="0" max="7" min="4" style="0" width="13"/>
    <col collapsed="false" customWidth="true" hidden="false" outlineLevel="0" max="11" min="8" style="0" width="12.5"/>
  </cols>
  <sheetData>
    <row r="2" customFormat="false" ht="15" hidden="false" customHeight="false" outlineLevel="0" collapsed="false">
      <c r="B2" s="1" t="s">
        <v>23</v>
      </c>
    </row>
    <row r="3" customFormat="false" ht="15" hidden="false" customHeight="false" outlineLevel="0" collapsed="false">
      <c r="B3" s="3" t="s">
        <v>24</v>
      </c>
    </row>
    <row r="4" customFormat="false" ht="15" hidden="false" customHeight="false" outlineLevel="0" collapsed="false">
      <c r="B4" s="2" t="s">
        <v>25</v>
      </c>
      <c r="D4" s="4" t="n">
        <v>1</v>
      </c>
    </row>
    <row r="5" customFormat="false" ht="15" hidden="false" customHeight="false" outlineLevel="0" collapsed="false">
      <c r="B5" s="5" t="s">
        <v>26</v>
      </c>
      <c r="D5" s="6" t="n">
        <v>3</v>
      </c>
    </row>
    <row r="6" customFormat="false" ht="15" hidden="false" customHeight="false" outlineLevel="0" collapsed="false">
      <c r="B6" s="5" t="s">
        <v>27</v>
      </c>
      <c r="D6" s="5" t="str">
        <f aca="false">CHOOSE($D$5,"COP","Miles de COP","Millones de COP","Miles de millones de COP")</f>
        <v>Millones de COP</v>
      </c>
    </row>
    <row r="7" customFormat="false" ht="15" hidden="false" customHeight="false" outlineLevel="0" collapsed="false">
      <c r="B7" s="5" t="s">
        <v>28</v>
      </c>
      <c r="D7" s="7" t="n">
        <f aca="false">CHOOSE($D$5,1,1000,1000000,1000000000)</f>
        <v>1000000</v>
      </c>
    </row>
    <row r="8" customFormat="false" ht="15" hidden="false" customHeight="false" outlineLevel="0" collapsed="false">
      <c r="B8" s="5" t="s">
        <v>29</v>
      </c>
      <c r="D8" s="6" t="n">
        <v>1</v>
      </c>
    </row>
    <row r="9" customFormat="false" ht="15" hidden="false" customHeight="false" outlineLevel="0" collapsed="false">
      <c r="B9" s="5" t="s">
        <v>30</v>
      </c>
      <c r="D9" s="6" t="n">
        <v>1</v>
      </c>
    </row>
    <row r="11" customFormat="false" ht="15" hidden="false" customHeight="false" outlineLevel="0" collapsed="false">
      <c r="B11" s="8" t="s">
        <v>31</v>
      </c>
    </row>
    <row r="12" customFormat="false" ht="15" hidden="false" customHeight="false" outlineLevel="0" collapsed="false">
      <c r="D12" s="2" t="s">
        <v>32</v>
      </c>
      <c r="E12" s="2" t="s">
        <v>33</v>
      </c>
      <c r="F12" s="2" t="s">
        <v>34</v>
      </c>
      <c r="G12" s="2" t="s">
        <v>35</v>
      </c>
    </row>
    <row r="13" customFormat="false" ht="15" hidden="false" customHeight="false" outlineLevel="0" collapsed="false">
      <c r="B13" s="5" t="s">
        <v>36</v>
      </c>
      <c r="C13" s="3" t="s">
        <v>37</v>
      </c>
      <c r="D13" s="9" t="n">
        <v>40000</v>
      </c>
    </row>
    <row r="14" customFormat="false" ht="15" hidden="false" customHeight="false" outlineLevel="0" collapsed="false">
      <c r="B14" s="5" t="s">
        <v>38</v>
      </c>
      <c r="D14" s="10" t="n">
        <v>0.05</v>
      </c>
      <c r="E14" s="10" t="n">
        <v>0.06</v>
      </c>
      <c r="F14" s="10" t="n">
        <v>0.03</v>
      </c>
      <c r="G14" s="11" t="n">
        <f aca="false">CHOOSE($D$4,D14,E14,F14)</f>
        <v>0.05</v>
      </c>
    </row>
    <row r="15" customFormat="false" ht="15" hidden="false" customHeight="false" outlineLevel="0" collapsed="false">
      <c r="B15" s="5" t="s">
        <v>39</v>
      </c>
      <c r="D15" s="10" t="n">
        <v>0.04</v>
      </c>
      <c r="E15" s="10" t="n">
        <v>0.07</v>
      </c>
      <c r="F15" s="10" t="n">
        <v>0</v>
      </c>
      <c r="G15" s="11" t="n">
        <f aca="false">CHOOSE($D$4,D15,E15,F15)</f>
        <v>0.04</v>
      </c>
    </row>
    <row r="16" customFormat="false" ht="15" hidden="false" customHeight="false" outlineLevel="0" collapsed="false">
      <c r="B16" s="5" t="s">
        <v>40</v>
      </c>
      <c r="D16" s="10" t="n">
        <v>0.12</v>
      </c>
      <c r="E16" s="10" t="n">
        <v>0.14</v>
      </c>
      <c r="F16" s="10" t="n">
        <v>0.09</v>
      </c>
      <c r="G16" s="11" t="n">
        <f aca="false">CHOOSE($D$4,D16,E16,F16)</f>
        <v>0.12</v>
      </c>
    </row>
    <row r="17" customFormat="false" ht="15" hidden="false" customHeight="false" outlineLevel="0" collapsed="false">
      <c r="B17" s="5" t="s">
        <v>41</v>
      </c>
      <c r="C17" s="3" t="s">
        <v>37</v>
      </c>
      <c r="D17" s="9" t="n">
        <v>0</v>
      </c>
    </row>
    <row r="18" customFormat="false" ht="15" hidden="false" customHeight="false" outlineLevel="0" collapsed="false">
      <c r="B18" s="5" t="s">
        <v>42</v>
      </c>
      <c r="D18" s="10" t="n">
        <v>0</v>
      </c>
      <c r="E18" s="10" t="n">
        <v>0</v>
      </c>
      <c r="F18" s="10" t="n">
        <v>0</v>
      </c>
      <c r="G18" s="11" t="n">
        <f aca="false">CHOOSE($D$4,D18,E18,F18)</f>
        <v>0</v>
      </c>
    </row>
    <row r="19" customFormat="false" ht="15" hidden="false" customHeight="false" outlineLevel="0" collapsed="false">
      <c r="B19" s="5" t="s">
        <v>43</v>
      </c>
      <c r="D19" s="10" t="n">
        <v>0</v>
      </c>
      <c r="E19" s="10" t="n">
        <v>0</v>
      </c>
      <c r="F19" s="10" t="n">
        <v>0</v>
      </c>
      <c r="G19" s="11" t="n">
        <f aca="false">CHOOSE($D$4,D19,E19,F19)</f>
        <v>0</v>
      </c>
    </row>
    <row r="20" customFormat="false" ht="15" hidden="false" customHeight="false" outlineLevel="0" collapsed="false">
      <c r="B20" s="5" t="s">
        <v>44</v>
      </c>
      <c r="D20" s="10" t="n">
        <v>0.12</v>
      </c>
      <c r="E20" s="10" t="n">
        <v>0.12</v>
      </c>
      <c r="F20" s="10" t="n">
        <v>0.12</v>
      </c>
      <c r="G20" s="11" t="n">
        <f aca="false">CHOOSE($D$4,D20,E20,F20)</f>
        <v>0.12</v>
      </c>
    </row>
    <row r="21" customFormat="false" ht="15" hidden="false" customHeight="false" outlineLevel="0" collapsed="false">
      <c r="B21" s="5" t="s">
        <v>45</v>
      </c>
      <c r="C21" s="3" t="s">
        <v>37</v>
      </c>
      <c r="D21" s="9" t="n">
        <v>0</v>
      </c>
    </row>
    <row r="22" customFormat="false" ht="15" hidden="false" customHeight="false" outlineLevel="0" collapsed="false">
      <c r="B22" s="5" t="s">
        <v>46</v>
      </c>
      <c r="D22" s="10" t="n">
        <v>0</v>
      </c>
      <c r="E22" s="10" t="n">
        <v>0</v>
      </c>
      <c r="F22" s="10" t="n">
        <v>0</v>
      </c>
      <c r="G22" s="11" t="n">
        <f aca="false">CHOOSE($D$4,D22,E22,F22)</f>
        <v>0</v>
      </c>
    </row>
    <row r="23" customFormat="false" ht="15" hidden="false" customHeight="false" outlineLevel="0" collapsed="false">
      <c r="B23" s="5" t="s">
        <v>47</v>
      </c>
      <c r="D23" s="10" t="n">
        <v>0</v>
      </c>
      <c r="E23" s="10" t="n">
        <v>0</v>
      </c>
      <c r="F23" s="10" t="n">
        <v>0</v>
      </c>
      <c r="G23" s="11" t="n">
        <f aca="false">CHOOSE($D$4,D23,E23,F23)</f>
        <v>0</v>
      </c>
    </row>
    <row r="24" customFormat="false" ht="15" hidden="false" customHeight="false" outlineLevel="0" collapsed="false">
      <c r="B24" s="5" t="s">
        <v>48</v>
      </c>
      <c r="D24" s="10" t="n">
        <v>0.12</v>
      </c>
      <c r="E24" s="10" t="n">
        <v>0.12</v>
      </c>
      <c r="F24" s="10" t="n">
        <v>0.12</v>
      </c>
      <c r="G24" s="11" t="n">
        <f aca="false">CHOOSE($D$4,D24,E24,F24)</f>
        <v>0.12</v>
      </c>
    </row>
    <row r="25" customFormat="false" ht="15" hidden="false" customHeight="false" outlineLevel="0" collapsed="false">
      <c r="B25" s="5" t="s">
        <v>49</v>
      </c>
      <c r="C25" s="3" t="s">
        <v>37</v>
      </c>
      <c r="D25" s="9" t="n">
        <v>0</v>
      </c>
    </row>
    <row r="26" customFormat="false" ht="15" hidden="false" customHeight="false" outlineLevel="0" collapsed="false">
      <c r="B26" s="5" t="s">
        <v>50</v>
      </c>
      <c r="D26" s="10" t="n">
        <v>0</v>
      </c>
      <c r="E26" s="10" t="n">
        <v>0</v>
      </c>
      <c r="F26" s="10" t="n">
        <v>0</v>
      </c>
      <c r="G26" s="11" t="n">
        <f aca="false">CHOOSE($D$4,D26,E26,F26)</f>
        <v>0</v>
      </c>
    </row>
    <row r="27" customFormat="false" ht="15" hidden="false" customHeight="false" outlineLevel="0" collapsed="false">
      <c r="B27" s="5" t="s">
        <v>51</v>
      </c>
      <c r="D27" s="10" t="n">
        <v>0</v>
      </c>
      <c r="E27" s="10" t="n">
        <v>0</v>
      </c>
      <c r="F27" s="10" t="n">
        <v>0</v>
      </c>
      <c r="G27" s="11" t="n">
        <f aca="false">CHOOSE($D$4,D27,E27,F27)</f>
        <v>0</v>
      </c>
    </row>
    <row r="28" customFormat="false" ht="15" hidden="false" customHeight="false" outlineLevel="0" collapsed="false">
      <c r="B28" s="5" t="s">
        <v>52</v>
      </c>
      <c r="D28" s="10" t="n">
        <v>0.12</v>
      </c>
      <c r="E28" s="10" t="n">
        <v>0.12</v>
      </c>
      <c r="F28" s="10" t="n">
        <v>0.12</v>
      </c>
      <c r="G28" s="11" t="n">
        <f aca="false">CHOOSE($D$4,D28,E28,F28)</f>
        <v>0.12</v>
      </c>
    </row>
    <row r="29" customFormat="false" ht="15" hidden="false" customHeight="false" outlineLevel="0" collapsed="false">
      <c r="B29" s="5" t="s">
        <v>53</v>
      </c>
      <c r="C29" s="3" t="s">
        <v>37</v>
      </c>
      <c r="D29" s="9" t="n">
        <v>0</v>
      </c>
    </row>
    <row r="30" customFormat="false" ht="15" hidden="false" customHeight="false" outlineLevel="0" collapsed="false">
      <c r="B30" s="5" t="s">
        <v>54</v>
      </c>
      <c r="D30" s="10" t="n">
        <v>0</v>
      </c>
      <c r="E30" s="10" t="n">
        <v>0</v>
      </c>
      <c r="F30" s="10" t="n">
        <v>0</v>
      </c>
      <c r="G30" s="11" t="n">
        <f aca="false">CHOOSE($D$4,D30,E30,F30)</f>
        <v>0</v>
      </c>
    </row>
    <row r="31" customFormat="false" ht="15" hidden="false" customHeight="false" outlineLevel="0" collapsed="false">
      <c r="B31" s="5" t="s">
        <v>55</v>
      </c>
      <c r="D31" s="10" t="n">
        <v>0</v>
      </c>
      <c r="E31" s="10" t="n">
        <v>0</v>
      </c>
      <c r="F31" s="10" t="n">
        <v>0</v>
      </c>
      <c r="G31" s="11" t="n">
        <f aca="false">CHOOSE($D$4,D31,E31,F31)</f>
        <v>0</v>
      </c>
    </row>
    <row r="32" customFormat="false" ht="15" hidden="false" customHeight="false" outlineLevel="0" collapsed="false">
      <c r="B32" s="5" t="s">
        <v>56</v>
      </c>
      <c r="D32" s="10" t="n">
        <v>0.12</v>
      </c>
      <c r="E32" s="10" t="n">
        <v>0.12</v>
      </c>
      <c r="F32" s="10" t="n">
        <v>0.12</v>
      </c>
      <c r="G32" s="11" t="n">
        <f aca="false">CHOOSE($D$4,D32,E32,F32)</f>
        <v>0.12</v>
      </c>
    </row>
    <row r="34" customFormat="false" ht="15" hidden="false" customHeight="false" outlineLevel="0" collapsed="false">
      <c r="B34" s="8" t="s">
        <v>57</v>
      </c>
    </row>
    <row r="35" customFormat="false" ht="15" hidden="false" customHeight="false" outlineLevel="0" collapsed="false">
      <c r="B35" s="5" t="s">
        <v>58</v>
      </c>
      <c r="C35" s="3" t="s">
        <v>37</v>
      </c>
      <c r="D35" s="9" t="n">
        <v>1150</v>
      </c>
      <c r="E35" s="9" t="n">
        <v>1100</v>
      </c>
      <c r="F35" s="9" t="n">
        <v>1250</v>
      </c>
      <c r="G35" s="7" t="n">
        <f aca="false">CHOOSE($D$4,D35,E35,F35)</f>
        <v>1150</v>
      </c>
    </row>
    <row r="36" customFormat="false" ht="15" hidden="false" customHeight="false" outlineLevel="0" collapsed="false">
      <c r="B36" s="5" t="s">
        <v>59</v>
      </c>
      <c r="C36" s="3" t="s">
        <v>60</v>
      </c>
      <c r="D36" s="10" t="n">
        <v>0.06</v>
      </c>
      <c r="E36" s="10" t="n">
        <v>0.05</v>
      </c>
      <c r="F36" s="10" t="n">
        <v>0.08</v>
      </c>
      <c r="G36" s="11" t="n">
        <f aca="false">CHOOSE($D$4,D36,E36,F36)</f>
        <v>0.06</v>
      </c>
    </row>
    <row r="37" customFormat="false" ht="15" hidden="false" customHeight="false" outlineLevel="0" collapsed="false">
      <c r="B37" s="5" t="s">
        <v>61</v>
      </c>
      <c r="C37" s="3" t="s">
        <v>60</v>
      </c>
      <c r="D37" s="10" t="n">
        <v>0.03</v>
      </c>
      <c r="E37" s="10" t="n">
        <v>0.028</v>
      </c>
      <c r="F37" s="10" t="n">
        <v>0.035</v>
      </c>
      <c r="G37" s="11" t="n">
        <f aca="false">CHOOSE($D$4,D37,E37,F37)</f>
        <v>0.03</v>
      </c>
    </row>
    <row r="38" customFormat="false" ht="15" hidden="false" customHeight="false" outlineLevel="0" collapsed="false">
      <c r="B38" s="5" t="s">
        <v>62</v>
      </c>
      <c r="C38" s="3" t="s">
        <v>63</v>
      </c>
      <c r="D38" s="6" t="n">
        <v>35</v>
      </c>
      <c r="E38" s="6" t="n">
        <v>30</v>
      </c>
      <c r="F38" s="6" t="n">
        <v>50</v>
      </c>
      <c r="G38" s="12" t="n">
        <f aca="false">CHOOSE($D$4,D38,E38,F38)</f>
        <v>35</v>
      </c>
    </row>
    <row r="39" customFormat="false" ht="15" hidden="false" customHeight="false" outlineLevel="0" collapsed="false">
      <c r="B39" s="5" t="s">
        <v>64</v>
      </c>
      <c r="C39" s="3" t="s">
        <v>63</v>
      </c>
      <c r="D39" s="6" t="n">
        <v>25</v>
      </c>
      <c r="E39" s="6" t="n">
        <v>20</v>
      </c>
      <c r="F39" s="6" t="n">
        <v>35</v>
      </c>
      <c r="G39" s="12" t="n">
        <f aca="false">CHOOSE($D$4,D39,E39,F39)</f>
        <v>25</v>
      </c>
    </row>
    <row r="40" customFormat="false" ht="15" hidden="false" customHeight="false" outlineLevel="0" collapsed="false">
      <c r="B40" s="5" t="s">
        <v>65</v>
      </c>
      <c r="C40" s="3" t="s">
        <v>63</v>
      </c>
      <c r="D40" s="6" t="n">
        <v>40</v>
      </c>
      <c r="E40" s="6" t="n">
        <v>45</v>
      </c>
      <c r="F40" s="6" t="n">
        <v>30</v>
      </c>
      <c r="G40" s="12" t="n">
        <f aca="false">CHOOSE($D$4,D40,E40,F40)</f>
        <v>40</v>
      </c>
    </row>
    <row r="41" customFormat="false" ht="15" hidden="false" customHeight="false" outlineLevel="0" collapsed="false">
      <c r="B41" s="5" t="s">
        <v>66</v>
      </c>
      <c r="C41" s="3" t="s">
        <v>37</v>
      </c>
      <c r="D41" s="9" t="n">
        <v>150</v>
      </c>
      <c r="E41" s="9" t="n">
        <v>200</v>
      </c>
      <c r="F41" s="9" t="n">
        <v>50</v>
      </c>
      <c r="G41" s="7" t="n">
        <f aca="false">CHOOSE($D$4,D41,E41,F41)</f>
        <v>150</v>
      </c>
    </row>
    <row r="42" customFormat="false" ht="15" hidden="false" customHeight="false" outlineLevel="0" collapsed="false">
      <c r="B42" s="5" t="s">
        <v>67</v>
      </c>
      <c r="C42" s="3" t="s">
        <v>68</v>
      </c>
      <c r="D42" s="10" t="n">
        <v>0.14</v>
      </c>
      <c r="E42" s="10" t="n">
        <v>0.13</v>
      </c>
      <c r="F42" s="10" t="n">
        <v>0.16</v>
      </c>
      <c r="G42" s="11" t="n">
        <f aca="false">CHOOSE($D$4,D42,E42,F42)</f>
        <v>0.14</v>
      </c>
    </row>
    <row r="43" customFormat="false" ht="15" hidden="false" customHeight="false" outlineLevel="0" collapsed="false">
      <c r="B43" s="5" t="s">
        <v>69</v>
      </c>
      <c r="C43" s="3" t="s">
        <v>60</v>
      </c>
      <c r="D43" s="10" t="n">
        <v>0.03</v>
      </c>
      <c r="E43" s="10" t="n">
        <v>0.035</v>
      </c>
      <c r="F43" s="10" t="n">
        <v>0.02</v>
      </c>
      <c r="G43" s="11" t="n">
        <f aca="false">CHOOSE($D$4,D43,E43,F43)</f>
        <v>0.03</v>
      </c>
    </row>
    <row r="45" customFormat="false" ht="15" hidden="false" customHeight="false" outlineLevel="0" collapsed="false">
      <c r="B45" s="8" t="s">
        <v>70</v>
      </c>
    </row>
    <row r="46" customFormat="false" ht="15" hidden="false" customHeight="false" outlineLevel="0" collapsed="false">
      <c r="B46" s="5" t="s">
        <v>71</v>
      </c>
      <c r="C46" s="3" t="s">
        <v>72</v>
      </c>
      <c r="D46" s="6" t="n">
        <v>10</v>
      </c>
    </row>
    <row r="47" customFormat="false" ht="15" hidden="false" customHeight="false" outlineLevel="0" collapsed="false">
      <c r="B47" s="5" t="s">
        <v>73</v>
      </c>
      <c r="C47" s="3" t="s">
        <v>37</v>
      </c>
      <c r="D47" s="9" t="n">
        <v>250</v>
      </c>
    </row>
    <row r="48" customFormat="false" ht="15" hidden="false" customHeight="false" outlineLevel="0" collapsed="false">
      <c r="B48" s="5" t="s">
        <v>74</v>
      </c>
      <c r="C48" s="3" t="s">
        <v>37</v>
      </c>
      <c r="D48" s="9" t="n">
        <v>3000</v>
      </c>
    </row>
    <row r="49" customFormat="false" ht="15" hidden="false" customHeight="false" outlineLevel="0" collapsed="false">
      <c r="B49" s="5" t="s">
        <v>75</v>
      </c>
      <c r="C49" s="3" t="s">
        <v>37</v>
      </c>
      <c r="D49" s="9" t="n">
        <v>4000</v>
      </c>
    </row>
    <row r="50" customFormat="false" ht="15" hidden="false" customHeight="false" outlineLevel="0" collapsed="false">
      <c r="B50" s="3" t="s">
        <v>76</v>
      </c>
    </row>
    <row r="51" customFormat="false" ht="15" hidden="false" customHeight="false" outlineLevel="0" collapsed="false">
      <c r="B51" s="5" t="s">
        <v>77</v>
      </c>
      <c r="C51" s="3" t="s">
        <v>37</v>
      </c>
      <c r="D51" s="9" t="n">
        <v>2000</v>
      </c>
    </row>
    <row r="52" customFormat="false" ht="15" hidden="false" customHeight="false" outlineLevel="0" collapsed="false">
      <c r="B52" s="5" t="s">
        <v>78</v>
      </c>
      <c r="C52" s="3" t="s">
        <v>72</v>
      </c>
      <c r="D52" s="6" t="n">
        <v>5</v>
      </c>
    </row>
    <row r="53" customFormat="false" ht="15" hidden="false" customHeight="false" outlineLevel="0" collapsed="false">
      <c r="B53" s="5" t="s">
        <v>79</v>
      </c>
      <c r="C53" s="3" t="s">
        <v>72</v>
      </c>
      <c r="D53" s="6" t="n">
        <v>0</v>
      </c>
    </row>
    <row r="54" customFormat="false" ht="15" hidden="false" customHeight="false" outlineLevel="0" collapsed="false">
      <c r="B54" s="3" t="s">
        <v>80</v>
      </c>
    </row>
    <row r="55" customFormat="false" ht="15" hidden="false" customHeight="false" outlineLevel="0" collapsed="false">
      <c r="B55" s="5" t="s">
        <v>81</v>
      </c>
      <c r="C55" s="3" t="s">
        <v>37</v>
      </c>
      <c r="D55" s="9" t="n">
        <v>0</v>
      </c>
    </row>
    <row r="56" customFormat="false" ht="15" hidden="false" customHeight="false" outlineLevel="0" collapsed="false">
      <c r="B56" s="5" t="s">
        <v>82</v>
      </c>
      <c r="C56" s="3" t="s">
        <v>72</v>
      </c>
      <c r="D56" s="6" t="n">
        <v>7</v>
      </c>
    </row>
    <row r="57" customFormat="false" ht="15" hidden="false" customHeight="false" outlineLevel="0" collapsed="false">
      <c r="B57" s="5" t="s">
        <v>83</v>
      </c>
      <c r="C57" s="3" t="s">
        <v>72</v>
      </c>
      <c r="D57" s="6" t="n">
        <v>0</v>
      </c>
    </row>
    <row r="58" customFormat="false" ht="15" hidden="false" customHeight="false" outlineLevel="0" collapsed="false">
      <c r="B58" s="5" t="s">
        <v>84</v>
      </c>
      <c r="C58" s="3" t="s">
        <v>68</v>
      </c>
      <c r="D58" s="10" t="n">
        <v>0.14</v>
      </c>
    </row>
    <row r="59" customFormat="false" ht="15" hidden="false" customHeight="false" outlineLevel="0" collapsed="false">
      <c r="B59" s="5" t="s">
        <v>85</v>
      </c>
      <c r="C59" s="3" t="s">
        <v>37</v>
      </c>
      <c r="D59" s="9" t="n">
        <v>0</v>
      </c>
    </row>
    <row r="60" customFormat="false" ht="15" hidden="false" customHeight="false" outlineLevel="0" collapsed="false">
      <c r="B60" s="5" t="s">
        <v>86</v>
      </c>
      <c r="C60" s="3" t="s">
        <v>72</v>
      </c>
      <c r="D60" s="6" t="n">
        <v>10</v>
      </c>
    </row>
    <row r="61" customFormat="false" ht="15" hidden="false" customHeight="false" outlineLevel="0" collapsed="false">
      <c r="B61" s="5" t="s">
        <v>87</v>
      </c>
      <c r="C61" s="3" t="s">
        <v>72</v>
      </c>
      <c r="D61" s="6" t="n">
        <v>2</v>
      </c>
    </row>
    <row r="62" customFormat="false" ht="15" hidden="false" customHeight="false" outlineLevel="0" collapsed="false">
      <c r="B62" s="5" t="s">
        <v>88</v>
      </c>
      <c r="C62" s="3" t="s">
        <v>68</v>
      </c>
      <c r="D62" s="10" t="n">
        <v>0.14</v>
      </c>
    </row>
    <row r="63" customFormat="false" ht="15" hidden="false" customHeight="false" outlineLevel="0" collapsed="false">
      <c r="B63" s="5" t="s">
        <v>89</v>
      </c>
      <c r="C63" s="3" t="s">
        <v>60</v>
      </c>
      <c r="D63" s="13" t="n">
        <v>0.35</v>
      </c>
    </row>
    <row r="64" customFormat="false" ht="15" hidden="false" customHeight="false" outlineLevel="0" collapsed="false">
      <c r="B64" s="5" t="s">
        <v>90</v>
      </c>
      <c r="C64" s="3" t="s">
        <v>60</v>
      </c>
      <c r="D64" s="10" t="n">
        <v>0.5</v>
      </c>
    </row>
    <row r="65" customFormat="false" ht="15" hidden="false" customHeight="false" outlineLevel="0" collapsed="false">
      <c r="B65" s="5" t="s">
        <v>91</v>
      </c>
      <c r="C65" s="3" t="s">
        <v>60</v>
      </c>
      <c r="D65" s="10" t="n">
        <v>0.3</v>
      </c>
    </row>
    <row r="66" customFormat="false" ht="15" hidden="false" customHeight="false" outlineLevel="0" collapsed="false">
      <c r="B66" s="5" t="s">
        <v>92</v>
      </c>
      <c r="C66" s="3" t="s">
        <v>60</v>
      </c>
      <c r="D66" s="10" t="n">
        <v>0.1</v>
      </c>
    </row>
    <row r="67" customFormat="false" ht="15" hidden="false" customHeight="false" outlineLevel="0" collapsed="false">
      <c r="B67" s="5" t="s">
        <v>93</v>
      </c>
      <c r="C67" s="3" t="s">
        <v>60</v>
      </c>
      <c r="D67" s="10" t="n">
        <v>0.03</v>
      </c>
    </row>
    <row r="68" customFormat="false" ht="15" hidden="false" customHeight="false" outlineLevel="0" collapsed="false">
      <c r="B68" s="5" t="s">
        <v>94</v>
      </c>
      <c r="C68" s="3" t="s">
        <v>60</v>
      </c>
      <c r="D68" s="10" t="n">
        <v>0</v>
      </c>
    </row>
    <row r="69" customFormat="false" ht="15" hidden="false" customHeight="false" outlineLevel="0" collapsed="false">
      <c r="B69" s="5" t="s">
        <v>95</v>
      </c>
      <c r="C69" s="3" t="s">
        <v>96</v>
      </c>
      <c r="D69" s="9" t="n">
        <v>5000</v>
      </c>
    </row>
    <row r="70" customFormat="false" ht="15" hidden="false" customHeight="false" outlineLevel="0" collapsed="false">
      <c r="B70" s="5" t="s">
        <v>97</v>
      </c>
      <c r="C70" s="3" t="s">
        <v>37</v>
      </c>
      <c r="D70" s="9" t="n">
        <v>3000</v>
      </c>
    </row>
    <row r="71" customFormat="false" ht="15" hidden="false" customHeight="false" outlineLevel="0" collapsed="false">
      <c r="B71" s="5" t="s">
        <v>98</v>
      </c>
      <c r="C71" s="3" t="s">
        <v>99</v>
      </c>
      <c r="D71" s="14" t="n">
        <v>2</v>
      </c>
    </row>
    <row r="72" customFormat="false" ht="15" hidden="false" customHeight="false" outlineLevel="0" collapsed="false">
      <c r="B72" s="5" t="s">
        <v>100</v>
      </c>
      <c r="C72" s="3" t="s">
        <v>99</v>
      </c>
      <c r="D72" s="14" t="n">
        <v>3.5</v>
      </c>
    </row>
    <row r="73" customFormat="false" ht="15" hidden="false" customHeight="false" outlineLevel="0" collapsed="false">
      <c r="B73" s="5" t="s">
        <v>101</v>
      </c>
      <c r="C73" s="3" t="s">
        <v>99</v>
      </c>
      <c r="D73" s="14" t="n">
        <v>1.2</v>
      </c>
    </row>
    <row r="74" customFormat="false" ht="15" hidden="false" customHeight="false" outlineLevel="0" collapsed="false">
      <c r="B74" s="5" t="s">
        <v>102</v>
      </c>
      <c r="C74" s="3" t="s">
        <v>60</v>
      </c>
      <c r="D74" s="10" t="n">
        <v>0.0572</v>
      </c>
    </row>
    <row r="75" customFormat="false" ht="15" hidden="false" customHeight="false" outlineLevel="0" collapsed="false">
      <c r="B75" s="5" t="s">
        <v>103</v>
      </c>
      <c r="D75" s="15" t="s">
        <v>104</v>
      </c>
    </row>
    <row r="76" customFormat="false" ht="15" hidden="false" customHeight="false" outlineLevel="0" collapsed="false">
      <c r="B76" s="5" t="s">
        <v>105</v>
      </c>
      <c r="D76" s="16" t="n">
        <v>46213</v>
      </c>
    </row>
    <row r="77" customFormat="false" ht="15" hidden="false" customHeight="false" outlineLevel="0" collapsed="false">
      <c r="B77" s="5" t="s">
        <v>106</v>
      </c>
      <c r="C77" s="3" t="s">
        <v>63</v>
      </c>
      <c r="D77" s="6" t="n">
        <v>200</v>
      </c>
    </row>
    <row r="78" customFormat="false" ht="15" hidden="false" customHeight="false" outlineLevel="0" collapsed="false">
      <c r="B78" s="5" t="s">
        <v>107</v>
      </c>
      <c r="C78" s="3" t="s">
        <v>60</v>
      </c>
      <c r="D78" s="10" t="n">
        <v>0.35</v>
      </c>
    </row>
    <row r="79" customFormat="false" ht="15" hidden="false" customHeight="false" outlineLevel="0" collapsed="false">
      <c r="B79" s="5" t="s">
        <v>108</v>
      </c>
      <c r="C79" s="3" t="s">
        <v>109</v>
      </c>
      <c r="D79" s="6" t="n">
        <v>37</v>
      </c>
    </row>
    <row r="81" customFormat="false" ht="15" hidden="false" customHeight="false" outlineLevel="0" collapsed="false">
      <c r="B81" s="8" t="s">
        <v>110</v>
      </c>
    </row>
    <row r="82" customFormat="false" ht="15" hidden="false" customHeight="false" outlineLevel="0" collapsed="false">
      <c r="B82" s="5" t="s">
        <v>111</v>
      </c>
      <c r="C82" s="3" t="s">
        <v>63</v>
      </c>
      <c r="D82" s="6" t="n">
        <v>365</v>
      </c>
    </row>
    <row r="83" customFormat="false" ht="15" hidden="false" customHeight="false" outlineLevel="0" collapsed="false">
      <c r="B83" s="5" t="s">
        <v>112</v>
      </c>
      <c r="C83" s="3" t="s">
        <v>113</v>
      </c>
      <c r="D83" s="17" t="n">
        <v>0.5</v>
      </c>
    </row>
    <row r="84" customFormat="false" ht="15" hidden="false" customHeight="false" outlineLevel="0" collapsed="false">
      <c r="B84" s="5" t="s">
        <v>114</v>
      </c>
      <c r="C84" s="3" t="s">
        <v>60</v>
      </c>
      <c r="D84" s="10" t="n">
        <v>0.01</v>
      </c>
    </row>
    <row r="85" customFormat="false" ht="15" hidden="false" customHeight="false" outlineLevel="0" collapsed="false">
      <c r="B85" s="5" t="s">
        <v>115</v>
      </c>
      <c r="C85" s="3" t="s">
        <v>60</v>
      </c>
      <c r="D85" s="10" t="n">
        <v>0.005</v>
      </c>
    </row>
    <row r="86" customFormat="false" ht="15" hidden="false" customHeight="false" outlineLevel="0" collapsed="false">
      <c r="B86" s="5" t="s">
        <v>116</v>
      </c>
      <c r="C86" s="3" t="s">
        <v>60</v>
      </c>
      <c r="D86" s="10" t="n">
        <v>0.9</v>
      </c>
    </row>
    <row r="87" customFormat="false" ht="15" hidden="false" customHeight="false" outlineLevel="0" collapsed="false">
      <c r="B87" s="5" t="s">
        <v>117</v>
      </c>
      <c r="C87" s="3" t="s">
        <v>37</v>
      </c>
      <c r="D87" s="17" t="n">
        <v>0.01</v>
      </c>
    </row>
    <row r="88" customFormat="false" ht="15" hidden="false" customHeight="false" outlineLevel="0" collapsed="false">
      <c r="B88" s="5" t="s">
        <v>118</v>
      </c>
      <c r="C88" s="3"/>
      <c r="D88" s="18" t="n">
        <v>0.0001</v>
      </c>
    </row>
    <row r="89" customFormat="false" ht="15" hidden="false" customHeight="false" outlineLevel="0" collapsed="false">
      <c r="B89" s="5" t="s">
        <v>119</v>
      </c>
      <c r="C89" s="3" t="s">
        <v>37</v>
      </c>
      <c r="D89" s="17" t="n">
        <v>0.05</v>
      </c>
    </row>
    <row r="92" customFormat="false" ht="15" hidden="false" customHeight="false" outlineLevel="0" collapsed="false">
      <c r="B92" s="3" t="s">
        <v>120</v>
      </c>
    </row>
    <row r="93" customFormat="false" ht="15" hidden="false" customHeight="false" outlineLevel="0" collapsed="false">
      <c r="B93" s="3" t="s">
        <v>121</v>
      </c>
    </row>
  </sheetData>
  <sheetProtection sheet="true"/>
  <dataValidations count="9">
    <dataValidation allowBlank="true" error="Solo 1, 2 o 3" errorStyle="stop" errorTitle="Entrada inválida" operator="between" prompt="1=Base, 2=Optimista, 3=Adverso" promptTitle="Escenario" showDropDown="false" showErrorMessage="true" showInputMessage="true" sqref="D4" type="list">
      <formula1>"1,2,3"</formula1>
      <formula2>0</formula2>
    </dataValidation>
    <dataValidation allowBlank="true" error="Solo 1 a 4" errorStyle="stop" errorTitle="Entrada inválida" operator="between" prompt="1=COP, 2=Miles, 3=Millones, 4=Miles de millones" promptTitle="Escala" showDropDown="false" showErrorMessage="true" showInputMessage="true" sqref="D5" type="list">
      <formula1>"1,2,3,4"</formula1>
      <formula2>0</formula2>
    </dataValidation>
    <dataValidation allowBlank="true" error="Solo 1 o 2" errorStyle="stop" errorTitle="Entrada inválida" operator="between" prompt="1=Gordon FCLO6, 2=Value driver" promptTitle="Método terminal" showDropDown="false" showErrorMessage="true" showInputMessage="true" sqref="D8" type="list">
      <formula1>"1,2"</formula1>
      <formula2>0</formula2>
    </dataValidation>
    <dataValidation allowBlank="true" error="Solo 1 o 2" errorStyle="stop" errorTitle="Entrada inválida" operator="between" prompt="1=fin de año, 2=mid-year" promptTitle="Convención" showDropDown="false" showErrorMessage="true" showInputMessage="true" sqref="D9" type="list">
      <formula1>"1,2"</formula1>
      <formula2>0</formula2>
    </dataValidation>
    <dataValidation allowBlank="true" error="Plazo entero entre 1 y 40" errorStyle="stop" errorTitle="Entrada inválida" operator="between" prompt="Años enteros positivos (1-40)" promptTitle="Plazo" showDropDown="false" showErrorMessage="true" showInputMessage="true" sqref="D52 D56 D60" type="whole">
      <formula1>1</formula1>
      <formula2>40</formula2>
    </dataValidation>
    <dataValidation allowBlank="true" error="Gracia entera entre 0 y 39" errorStyle="stop" errorTitle="Entrada inválida" operator="between" prompt="Años enteros no negativos, menores que el plazo" promptTitle="Gracia" showDropDown="false" showErrorMessage="true" showInputMessage="true" sqref="D53 D57 D61" type="whole">
      <formula1>0</formula1>
      <formula2>39</formula2>
    </dataValidation>
    <dataValidation allowBlank="true" error="Monto no negativo" errorStyle="stop" errorTitle="Entrada inválida" operator="greaterThanOrEqual" prompt="Monto del tramo (≥ 0)" promptTitle="Monto" showDropDown="false" showErrorMessage="true" showInputMessage="true" sqref="D51 D55 D59" type="decimal">
      <formula1>0</formula1>
      <formula2>0</formula2>
    </dataValidation>
    <dataValidation allowBlank="true" error="Tasa fuera de rango razonable" errorStyle="stop" errorTitle="Entrada inválida" operator="between" prompt="Tasa E.A. entre 0% y 60%" promptTitle="Tasa" showDropDown="false" showErrorMessage="true" showInputMessage="true" sqref="D58 D62" type="decimal">
      <formula1>0</formula1>
      <formula2>0.6</formula2>
    </dataValidation>
    <dataValidation allowBlank="true" error="Tasa fuera de rango razonable" errorStyle="stop" errorTitle="Entrada inválida" operator="between" prompt="Tasa E.A. entre 0% y 60%" promptTitle="Tasa tramo 1" showDropDown="false" showErrorMessage="true" showInputMessage="true" sqref="D42:F42" type="decimal">
      <formula1>0</formula1>
      <formula2>0.6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4" topLeftCell="E5" activePane="bottomRight" state="frozen"/>
      <selection pane="topLeft" activeCell="A1" activeCellId="0" sqref="A1"/>
      <selection pane="topRight" activeCell="E1" activeCellId="0" sqref="E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6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11" min="5" style="0" width="12.5"/>
  </cols>
  <sheetData>
    <row r="2" customFormat="false" ht="15" hidden="false" customHeight="false" outlineLevel="0" collapsed="false">
      <c r="B2" s="1" t="s">
        <v>122</v>
      </c>
    </row>
    <row r="3" customFormat="false" ht="15" hidden="false" customHeight="false" outlineLevel="0" collapsed="false">
      <c r="B3" s="19" t="str">
        <f aca="false">CONCATENATE("Cifras en: ",Supuestos!$D$6)</f>
        <v>Cifras en: Millones de COP</v>
      </c>
    </row>
    <row r="4" customFormat="false" ht="15" hidden="false" customHeight="false" outlineLevel="0" collapsed="false">
      <c r="C4" s="2" t="s">
        <v>123</v>
      </c>
      <c r="D4" s="2" t="s">
        <v>124</v>
      </c>
      <c r="E4" s="20" t="s">
        <v>125</v>
      </c>
      <c r="F4" s="20" t="s">
        <v>126</v>
      </c>
      <c r="G4" s="20" t="s">
        <v>127</v>
      </c>
      <c r="H4" s="20" t="s">
        <v>128</v>
      </c>
      <c r="I4" s="20" t="s">
        <v>129</v>
      </c>
      <c r="J4" s="20" t="s">
        <v>130</v>
      </c>
      <c r="K4" s="20" t="s">
        <v>131</v>
      </c>
    </row>
    <row r="5" customFormat="false" ht="15" hidden="false" customHeight="false" outlineLevel="0" collapsed="false">
      <c r="B5" s="5" t="s">
        <v>132</v>
      </c>
      <c r="C5" s="3" t="s">
        <v>60</v>
      </c>
      <c r="E5" s="21" t="n">
        <f aca="false">(1+Supuestos!$G$14)*(1+Supuestos!$G$15)-1</f>
        <v>0.0920000000000001</v>
      </c>
      <c r="F5" s="21" t="n">
        <f aca="false">(1+Supuestos!$G$14)*(1+Supuestos!$G$15)-1</f>
        <v>0.0920000000000001</v>
      </c>
      <c r="G5" s="21" t="n">
        <f aca="false">(1+Supuestos!$G$14)*(1+Supuestos!$G$15)-1</f>
        <v>0.0920000000000001</v>
      </c>
      <c r="H5" s="21" t="n">
        <f aca="false">(1+Supuestos!$G$14)*(1+Supuestos!$G$15)-1</f>
        <v>0.0920000000000001</v>
      </c>
      <c r="I5" s="21" t="n">
        <f aca="false">(1+Supuestos!$G$14)*(1+Supuestos!$G$15)-1</f>
        <v>0.0920000000000001</v>
      </c>
      <c r="J5" s="21" t="n">
        <f aca="false">(1+Supuestos!$G$14)*(1+Supuestos!$G$15)-1</f>
        <v>0.0920000000000001</v>
      </c>
      <c r="K5" s="21" t="n">
        <f aca="false">Supuestos!$G$43</f>
        <v>0.03</v>
      </c>
    </row>
    <row r="6" customFormat="false" ht="15" hidden="false" customHeight="false" outlineLevel="0" collapsed="false">
      <c r="B6" s="5" t="s">
        <v>133</v>
      </c>
      <c r="C6" s="3" t="s">
        <v>37</v>
      </c>
      <c r="E6" s="7" t="n">
        <f aca="false">Supuestos!$D$13</f>
        <v>40000</v>
      </c>
      <c r="F6" s="7" t="n">
        <f aca="false">E6*(1+F5)</f>
        <v>43680</v>
      </c>
      <c r="G6" s="7" t="n">
        <f aca="false">F6*(1+G5)</f>
        <v>47698.56</v>
      </c>
      <c r="H6" s="7" t="n">
        <f aca="false">G6*(1+H5)</f>
        <v>52086.82752</v>
      </c>
      <c r="I6" s="7" t="n">
        <f aca="false">H6*(1+I5)</f>
        <v>56878.81565184</v>
      </c>
      <c r="J6" s="7" t="n">
        <f aca="false">I6*(1+J5)</f>
        <v>62111.6666918093</v>
      </c>
      <c r="K6" s="7" t="n">
        <f aca="false">J6*(1+K5)</f>
        <v>63975.0166925636</v>
      </c>
    </row>
    <row r="7" customFormat="false" ht="15" hidden="false" customHeight="false" outlineLevel="0" collapsed="false">
      <c r="B7" s="5" t="s">
        <v>134</v>
      </c>
      <c r="C7" s="3" t="s">
        <v>37</v>
      </c>
      <c r="E7" s="7" t="n">
        <f aca="false">-E6*(1-Supuestos!$G$16)</f>
        <v>-35200</v>
      </c>
      <c r="F7" s="7" t="n">
        <f aca="false">-F6*(1-Supuestos!$G$16)</f>
        <v>-38438.4</v>
      </c>
      <c r="G7" s="7" t="n">
        <f aca="false">-G6*(1-Supuestos!$G$16)</f>
        <v>-41974.7328</v>
      </c>
      <c r="H7" s="7" t="n">
        <f aca="false">-H6*(1-Supuestos!$G$16)</f>
        <v>-45836.4082176</v>
      </c>
      <c r="I7" s="7" t="n">
        <f aca="false">-I6*(1-Supuestos!$G$16)</f>
        <v>-50053.3577736192</v>
      </c>
      <c r="J7" s="7" t="n">
        <f aca="false">-J6*(1-Supuestos!$G$16)</f>
        <v>-54658.2666887922</v>
      </c>
      <c r="K7" s="7" t="n">
        <f aca="false">-K6*(1-Supuestos!$G$16)</f>
        <v>-56298.014689456</v>
      </c>
    </row>
    <row r="8" customFormat="false" ht="15" hidden="false" customHeight="false" outlineLevel="0" collapsed="false">
      <c r="B8" s="5" t="s">
        <v>135</v>
      </c>
      <c r="C8" s="3" t="s">
        <v>60</v>
      </c>
      <c r="E8" s="21" t="n">
        <f aca="false">(1+Supuestos!$G$18)*(1+Supuestos!$G$19)-1</f>
        <v>0</v>
      </c>
      <c r="F8" s="21" t="n">
        <f aca="false">(1+Supuestos!$G$18)*(1+Supuestos!$G$19)-1</f>
        <v>0</v>
      </c>
      <c r="G8" s="21" t="n">
        <f aca="false">(1+Supuestos!$G$18)*(1+Supuestos!$G$19)-1</f>
        <v>0</v>
      </c>
      <c r="H8" s="21" t="n">
        <f aca="false">(1+Supuestos!$G$18)*(1+Supuestos!$G$19)-1</f>
        <v>0</v>
      </c>
      <c r="I8" s="21" t="n">
        <f aca="false">(1+Supuestos!$G$18)*(1+Supuestos!$G$19)-1</f>
        <v>0</v>
      </c>
      <c r="J8" s="21" t="n">
        <f aca="false">(1+Supuestos!$G$18)*(1+Supuestos!$G$19)-1</f>
        <v>0</v>
      </c>
      <c r="K8" s="21" t="n">
        <f aca="false">Supuestos!$G$43</f>
        <v>0.03</v>
      </c>
    </row>
    <row r="9" customFormat="false" ht="15" hidden="false" customHeight="false" outlineLevel="0" collapsed="false">
      <c r="B9" s="5" t="s">
        <v>136</v>
      </c>
      <c r="C9" s="3" t="s">
        <v>37</v>
      </c>
      <c r="E9" s="7" t="n">
        <f aca="false">Supuestos!$D$17</f>
        <v>0</v>
      </c>
      <c r="F9" s="7" t="n">
        <f aca="false">E9*(1+F8)</f>
        <v>0</v>
      </c>
      <c r="G9" s="7" t="n">
        <f aca="false">F9*(1+G8)</f>
        <v>0</v>
      </c>
      <c r="H9" s="7" t="n">
        <f aca="false">G9*(1+H8)</f>
        <v>0</v>
      </c>
      <c r="I9" s="7" t="n">
        <f aca="false">H9*(1+I8)</f>
        <v>0</v>
      </c>
      <c r="J9" s="7" t="n">
        <f aca="false">I9*(1+J8)</f>
        <v>0</v>
      </c>
      <c r="K9" s="7" t="n">
        <f aca="false">J9*(1+K8)</f>
        <v>0</v>
      </c>
    </row>
    <row r="10" customFormat="false" ht="15" hidden="false" customHeight="false" outlineLevel="0" collapsed="false">
      <c r="B10" s="5" t="s">
        <v>137</v>
      </c>
      <c r="C10" s="3" t="s">
        <v>37</v>
      </c>
      <c r="E10" s="7" t="n">
        <f aca="false">-E9*(1-Supuestos!$G$20)</f>
        <v>-0</v>
      </c>
      <c r="F10" s="7" t="n">
        <f aca="false">-F9*(1-Supuestos!$G$20)</f>
        <v>-0</v>
      </c>
      <c r="G10" s="7" t="n">
        <f aca="false">-G9*(1-Supuestos!$G$20)</f>
        <v>-0</v>
      </c>
      <c r="H10" s="7" t="n">
        <f aca="false">-H9*(1-Supuestos!$G$20)</f>
        <v>-0</v>
      </c>
      <c r="I10" s="7" t="n">
        <f aca="false">-I9*(1-Supuestos!$G$20)</f>
        <v>-0</v>
      </c>
      <c r="J10" s="7" t="n">
        <f aca="false">-J9*(1-Supuestos!$G$20)</f>
        <v>-0</v>
      </c>
      <c r="K10" s="7" t="n">
        <f aca="false">-K9*(1-Supuestos!$G$20)</f>
        <v>-0</v>
      </c>
    </row>
    <row r="11" customFormat="false" ht="15" hidden="false" customHeight="false" outlineLevel="0" collapsed="false">
      <c r="B11" s="5" t="s">
        <v>138</v>
      </c>
      <c r="C11" s="3" t="s">
        <v>60</v>
      </c>
      <c r="E11" s="21" t="n">
        <f aca="false">(1+Supuestos!$G$22)*(1+Supuestos!$G$23)-1</f>
        <v>0</v>
      </c>
      <c r="F11" s="21" t="n">
        <f aca="false">(1+Supuestos!$G$22)*(1+Supuestos!$G$23)-1</f>
        <v>0</v>
      </c>
      <c r="G11" s="21" t="n">
        <f aca="false">(1+Supuestos!$G$22)*(1+Supuestos!$G$23)-1</f>
        <v>0</v>
      </c>
      <c r="H11" s="21" t="n">
        <f aca="false">(1+Supuestos!$G$22)*(1+Supuestos!$G$23)-1</f>
        <v>0</v>
      </c>
      <c r="I11" s="21" t="n">
        <f aca="false">(1+Supuestos!$G$22)*(1+Supuestos!$G$23)-1</f>
        <v>0</v>
      </c>
      <c r="J11" s="21" t="n">
        <f aca="false">(1+Supuestos!$G$22)*(1+Supuestos!$G$23)-1</f>
        <v>0</v>
      </c>
      <c r="K11" s="21" t="n">
        <f aca="false">Supuestos!$G$43</f>
        <v>0.03</v>
      </c>
    </row>
    <row r="12" customFormat="false" ht="15" hidden="false" customHeight="false" outlineLevel="0" collapsed="false">
      <c r="B12" s="5" t="s">
        <v>139</v>
      </c>
      <c r="C12" s="3" t="s">
        <v>37</v>
      </c>
      <c r="E12" s="7" t="n">
        <f aca="false">Supuestos!$D$21</f>
        <v>0</v>
      </c>
      <c r="F12" s="7" t="n">
        <f aca="false">E12*(1+F11)</f>
        <v>0</v>
      </c>
      <c r="G12" s="7" t="n">
        <f aca="false">F12*(1+G11)</f>
        <v>0</v>
      </c>
      <c r="H12" s="7" t="n">
        <f aca="false">G12*(1+H11)</f>
        <v>0</v>
      </c>
      <c r="I12" s="7" t="n">
        <f aca="false">H12*(1+I11)</f>
        <v>0</v>
      </c>
      <c r="J12" s="7" t="n">
        <f aca="false">I12*(1+J11)</f>
        <v>0</v>
      </c>
      <c r="K12" s="7" t="n">
        <f aca="false">J12*(1+K11)</f>
        <v>0</v>
      </c>
    </row>
    <row r="13" customFormat="false" ht="15" hidden="false" customHeight="false" outlineLevel="0" collapsed="false">
      <c r="B13" s="5" t="s">
        <v>140</v>
      </c>
      <c r="C13" s="3" t="s">
        <v>37</v>
      </c>
      <c r="E13" s="7" t="n">
        <f aca="false">-E12*(1-Supuestos!$G$24)</f>
        <v>-0</v>
      </c>
      <c r="F13" s="7" t="n">
        <f aca="false">-F12*(1-Supuestos!$G$24)</f>
        <v>-0</v>
      </c>
      <c r="G13" s="7" t="n">
        <f aca="false">-G12*(1-Supuestos!$G$24)</f>
        <v>-0</v>
      </c>
      <c r="H13" s="7" t="n">
        <f aca="false">-H12*(1-Supuestos!$G$24)</f>
        <v>-0</v>
      </c>
      <c r="I13" s="7" t="n">
        <f aca="false">-I12*(1-Supuestos!$G$24)</f>
        <v>-0</v>
      </c>
      <c r="J13" s="7" t="n">
        <f aca="false">-J12*(1-Supuestos!$G$24)</f>
        <v>-0</v>
      </c>
      <c r="K13" s="7" t="n">
        <f aca="false">-K12*(1-Supuestos!$G$24)</f>
        <v>-0</v>
      </c>
    </row>
    <row r="14" customFormat="false" ht="15" hidden="false" customHeight="false" outlineLevel="0" collapsed="false">
      <c r="B14" s="5" t="s">
        <v>141</v>
      </c>
      <c r="C14" s="3" t="s">
        <v>60</v>
      </c>
      <c r="E14" s="21" t="n">
        <f aca="false">(1+Supuestos!$G$26)*(1+Supuestos!$G$27)-1</f>
        <v>0</v>
      </c>
      <c r="F14" s="21" t="n">
        <f aca="false">(1+Supuestos!$G$26)*(1+Supuestos!$G$27)-1</f>
        <v>0</v>
      </c>
      <c r="G14" s="21" t="n">
        <f aca="false">(1+Supuestos!$G$26)*(1+Supuestos!$G$27)-1</f>
        <v>0</v>
      </c>
      <c r="H14" s="21" t="n">
        <f aca="false">(1+Supuestos!$G$26)*(1+Supuestos!$G$27)-1</f>
        <v>0</v>
      </c>
      <c r="I14" s="21" t="n">
        <f aca="false">(1+Supuestos!$G$26)*(1+Supuestos!$G$27)-1</f>
        <v>0</v>
      </c>
      <c r="J14" s="21" t="n">
        <f aca="false">(1+Supuestos!$G$26)*(1+Supuestos!$G$27)-1</f>
        <v>0</v>
      </c>
      <c r="K14" s="21" t="n">
        <f aca="false">Supuestos!$G$43</f>
        <v>0.03</v>
      </c>
    </row>
    <row r="15" customFormat="false" ht="15" hidden="false" customHeight="false" outlineLevel="0" collapsed="false">
      <c r="B15" s="5" t="s">
        <v>142</v>
      </c>
      <c r="C15" s="3" t="s">
        <v>37</v>
      </c>
      <c r="E15" s="7" t="n">
        <f aca="false">Supuestos!$D$25</f>
        <v>0</v>
      </c>
      <c r="F15" s="7" t="n">
        <f aca="false">E15*(1+F14)</f>
        <v>0</v>
      </c>
      <c r="G15" s="7" t="n">
        <f aca="false">F15*(1+G14)</f>
        <v>0</v>
      </c>
      <c r="H15" s="7" t="n">
        <f aca="false">G15*(1+H14)</f>
        <v>0</v>
      </c>
      <c r="I15" s="7" t="n">
        <f aca="false">H15*(1+I14)</f>
        <v>0</v>
      </c>
      <c r="J15" s="7" t="n">
        <f aca="false">I15*(1+J14)</f>
        <v>0</v>
      </c>
      <c r="K15" s="7" t="n">
        <f aca="false">J15*(1+K14)</f>
        <v>0</v>
      </c>
    </row>
    <row r="16" customFormat="false" ht="15" hidden="false" customHeight="false" outlineLevel="0" collapsed="false">
      <c r="B16" s="5" t="s">
        <v>143</v>
      </c>
      <c r="C16" s="3" t="s">
        <v>37</v>
      </c>
      <c r="E16" s="7" t="n">
        <f aca="false">-E15*(1-Supuestos!$G$28)</f>
        <v>-0</v>
      </c>
      <c r="F16" s="7" t="n">
        <f aca="false">-F15*(1-Supuestos!$G$28)</f>
        <v>-0</v>
      </c>
      <c r="G16" s="7" t="n">
        <f aca="false">-G15*(1-Supuestos!$G$28)</f>
        <v>-0</v>
      </c>
      <c r="H16" s="7" t="n">
        <f aca="false">-H15*(1-Supuestos!$G$28)</f>
        <v>-0</v>
      </c>
      <c r="I16" s="7" t="n">
        <f aca="false">-I15*(1-Supuestos!$G$28)</f>
        <v>-0</v>
      </c>
      <c r="J16" s="7" t="n">
        <f aca="false">-J15*(1-Supuestos!$G$28)</f>
        <v>-0</v>
      </c>
      <c r="K16" s="7" t="n">
        <f aca="false">-K15*(1-Supuestos!$G$28)</f>
        <v>-0</v>
      </c>
    </row>
    <row r="17" customFormat="false" ht="15" hidden="false" customHeight="false" outlineLevel="0" collapsed="false">
      <c r="B17" s="5" t="s">
        <v>144</v>
      </c>
      <c r="C17" s="3" t="s">
        <v>60</v>
      </c>
      <c r="E17" s="21" t="n">
        <f aca="false">(1+Supuestos!$G$30)*(1+Supuestos!$G$31)-1</f>
        <v>0</v>
      </c>
      <c r="F17" s="21" t="n">
        <f aca="false">(1+Supuestos!$G$30)*(1+Supuestos!$G$31)-1</f>
        <v>0</v>
      </c>
      <c r="G17" s="21" t="n">
        <f aca="false">(1+Supuestos!$G$30)*(1+Supuestos!$G$31)-1</f>
        <v>0</v>
      </c>
      <c r="H17" s="21" t="n">
        <f aca="false">(1+Supuestos!$G$30)*(1+Supuestos!$G$31)-1</f>
        <v>0</v>
      </c>
      <c r="I17" s="21" t="n">
        <f aca="false">(1+Supuestos!$G$30)*(1+Supuestos!$G$31)-1</f>
        <v>0</v>
      </c>
      <c r="J17" s="21" t="n">
        <f aca="false">(1+Supuestos!$G$30)*(1+Supuestos!$G$31)-1</f>
        <v>0</v>
      </c>
      <c r="K17" s="21" t="n">
        <f aca="false">Supuestos!$G$43</f>
        <v>0.03</v>
      </c>
    </row>
    <row r="18" customFormat="false" ht="15" hidden="false" customHeight="false" outlineLevel="0" collapsed="false">
      <c r="B18" s="5" t="s">
        <v>145</v>
      </c>
      <c r="C18" s="3" t="s">
        <v>37</v>
      </c>
      <c r="E18" s="7" t="n">
        <f aca="false">Supuestos!$D$29</f>
        <v>0</v>
      </c>
      <c r="F18" s="7" t="n">
        <f aca="false">E18*(1+F17)</f>
        <v>0</v>
      </c>
      <c r="G18" s="7" t="n">
        <f aca="false">F18*(1+G17)</f>
        <v>0</v>
      </c>
      <c r="H18" s="7" t="n">
        <f aca="false">G18*(1+H17)</f>
        <v>0</v>
      </c>
      <c r="I18" s="7" t="n">
        <f aca="false">H18*(1+I17)</f>
        <v>0</v>
      </c>
      <c r="J18" s="7" t="n">
        <f aca="false">I18*(1+J17)</f>
        <v>0</v>
      </c>
      <c r="K18" s="7" t="n">
        <f aca="false">J18*(1+K17)</f>
        <v>0</v>
      </c>
    </row>
    <row r="19" customFormat="false" ht="15" hidden="false" customHeight="false" outlineLevel="0" collapsed="false">
      <c r="B19" s="5" t="s">
        <v>146</v>
      </c>
      <c r="C19" s="3" t="s">
        <v>37</v>
      </c>
      <c r="E19" s="7" t="n">
        <f aca="false">-E18*(1-Supuestos!$G$32)</f>
        <v>-0</v>
      </c>
      <c r="F19" s="7" t="n">
        <f aca="false">-F18*(1-Supuestos!$G$32)</f>
        <v>-0</v>
      </c>
      <c r="G19" s="7" t="n">
        <f aca="false">-G18*(1-Supuestos!$G$32)</f>
        <v>-0</v>
      </c>
      <c r="H19" s="7" t="n">
        <f aca="false">-H18*(1-Supuestos!$G$32)</f>
        <v>-0</v>
      </c>
      <c r="I19" s="7" t="n">
        <f aca="false">-I18*(1-Supuestos!$G$32)</f>
        <v>-0</v>
      </c>
      <c r="J19" s="7" t="n">
        <f aca="false">-J18*(1-Supuestos!$G$32)</f>
        <v>-0</v>
      </c>
      <c r="K19" s="7" t="n">
        <f aca="false">-K18*(1-Supuestos!$G$32)</f>
        <v>-0</v>
      </c>
    </row>
    <row r="21" customFormat="false" ht="15" hidden="false" customHeight="false" outlineLevel="0" collapsed="false">
      <c r="B21" s="8" t="s">
        <v>147</v>
      </c>
      <c r="C21" s="3" t="s">
        <v>37</v>
      </c>
      <c r="E21" s="7" t="n">
        <f aca="false">E6+E9+E12+E15+E18</f>
        <v>40000</v>
      </c>
      <c r="F21" s="7" t="n">
        <f aca="false">F6+F9+F12+F15+F18</f>
        <v>43680</v>
      </c>
      <c r="G21" s="7" t="n">
        <f aca="false">G6+G9+G12+G15+G18</f>
        <v>47698.56</v>
      </c>
      <c r="H21" s="7" t="n">
        <f aca="false">H6+H9+H12+H15+H18</f>
        <v>52086.82752</v>
      </c>
      <c r="I21" s="7" t="n">
        <f aca="false">I6+I9+I12+I15+I18</f>
        <v>56878.81565184</v>
      </c>
      <c r="J21" s="7" t="n">
        <f aca="false">J6+J9+J12+J15+J18</f>
        <v>62111.6666918093</v>
      </c>
      <c r="K21" s="7" t="n">
        <f aca="false">K6+K9+K12+K15+K18</f>
        <v>63975.0166925636</v>
      </c>
    </row>
    <row r="22" customFormat="false" ht="15" hidden="false" customHeight="false" outlineLevel="0" collapsed="false">
      <c r="B22" s="8" t="s">
        <v>148</v>
      </c>
      <c r="C22" s="3" t="s">
        <v>37</v>
      </c>
      <c r="E22" s="7" t="n">
        <f aca="false">E7+E10+E13+E16+E19</f>
        <v>-35200</v>
      </c>
      <c r="F22" s="7" t="n">
        <f aca="false">F7+F10+F13+F16+F19</f>
        <v>-38438.4</v>
      </c>
      <c r="G22" s="7" t="n">
        <f aca="false">G7+G10+G13+G16+G19</f>
        <v>-41974.7328</v>
      </c>
      <c r="H22" s="7" t="n">
        <f aca="false">H7+H10+H13+H16+H19</f>
        <v>-45836.4082176</v>
      </c>
      <c r="I22" s="7" t="n">
        <f aca="false">I7+I10+I13+I16+I19</f>
        <v>-50053.3577736192</v>
      </c>
      <c r="J22" s="7" t="n">
        <f aca="false">J7+J10+J13+J16+J19</f>
        <v>-54658.2666887922</v>
      </c>
      <c r="K22" s="7" t="n">
        <f aca="false">K7+K10+K13+K16+K19</f>
        <v>-56298.014689456</v>
      </c>
    </row>
    <row r="23" customFormat="false" ht="15" hidden="false" customHeight="false" outlineLevel="0" collapsed="false">
      <c r="B23" s="8" t="s">
        <v>149</v>
      </c>
      <c r="C23" s="3" t="s">
        <v>37</v>
      </c>
      <c r="E23" s="7" t="n">
        <f aca="false">E21+E22</f>
        <v>4800</v>
      </c>
      <c r="F23" s="7" t="n">
        <f aca="false">F21+F22</f>
        <v>5241.6</v>
      </c>
      <c r="G23" s="7" t="n">
        <f aca="false">G21+G22</f>
        <v>5723.8272</v>
      </c>
      <c r="H23" s="7" t="n">
        <f aca="false">H21+H22</f>
        <v>6250.4193024</v>
      </c>
      <c r="I23" s="7" t="n">
        <f aca="false">I21+I22</f>
        <v>6825.45787822081</v>
      </c>
      <c r="J23" s="7" t="n">
        <f aca="false">J21+J22</f>
        <v>7453.40000301712</v>
      </c>
      <c r="K23" s="7" t="n">
        <f aca="false">K21+K22</f>
        <v>7677.00200310763</v>
      </c>
    </row>
    <row r="25" customFormat="false" ht="15" hidden="false" customHeight="false" outlineLevel="0" collapsed="false">
      <c r="B25" s="3" t="s">
        <v>150</v>
      </c>
    </row>
  </sheetData>
  <sheetProtection sheet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4" topLeftCell="E5" activePane="bottomRight" state="frozen"/>
      <selection pane="topLeft" activeCell="A1" activeCellId="0" sqref="A1"/>
      <selection pane="topRight" activeCell="E1" activeCellId="0" sqref="E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6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11" min="5" style="0" width="12.5"/>
  </cols>
  <sheetData>
    <row r="2" customFormat="false" ht="15" hidden="false" customHeight="false" outlineLevel="0" collapsed="false">
      <c r="B2" s="1" t="s">
        <v>151</v>
      </c>
    </row>
    <row r="3" customFormat="false" ht="15" hidden="false" customHeight="false" outlineLevel="0" collapsed="false">
      <c r="B3" s="19" t="str">
        <f aca="false">CONCATENATE("Cifras en: ",Supuestos!$D$6)</f>
        <v>Cifras en: Millones de COP</v>
      </c>
    </row>
    <row r="4" customFormat="false" ht="15" hidden="false" customHeight="false" outlineLevel="0" collapsed="false">
      <c r="C4" s="2" t="s">
        <v>123</v>
      </c>
      <c r="D4" s="2" t="s">
        <v>124</v>
      </c>
      <c r="E4" s="20" t="s">
        <v>125</v>
      </c>
      <c r="F4" s="20" t="s">
        <v>126</v>
      </c>
      <c r="G4" s="20" t="s">
        <v>127</v>
      </c>
      <c r="H4" s="20" t="s">
        <v>128</v>
      </c>
      <c r="I4" s="20" t="s">
        <v>129</v>
      </c>
      <c r="J4" s="20" t="s">
        <v>130</v>
      </c>
      <c r="K4" s="20" t="s">
        <v>131</v>
      </c>
    </row>
    <row r="5" customFormat="false" ht="15" hidden="false" customHeight="false" outlineLevel="0" collapsed="false">
      <c r="B5" s="5" t="s">
        <v>152</v>
      </c>
      <c r="C5" s="3" t="s">
        <v>37</v>
      </c>
      <c r="E5" s="7" t="n">
        <f aca="false">-Supuestos!$G$35</f>
        <v>-1150</v>
      </c>
      <c r="F5" s="7" t="n">
        <f aca="false">E5*(1+Supuestos!$G$36)</f>
        <v>-1219</v>
      </c>
      <c r="G5" s="7" t="n">
        <f aca="false">F5*(1+Supuestos!$G$36)</f>
        <v>-1292.14</v>
      </c>
      <c r="H5" s="7" t="n">
        <f aca="false">G5*(1+Supuestos!$G$36)</f>
        <v>-1369.6684</v>
      </c>
      <c r="I5" s="7" t="n">
        <f aca="false">H5*(1+Supuestos!$G$36)</f>
        <v>-1451.848504</v>
      </c>
      <c r="J5" s="7" t="n">
        <f aca="false">I5*(1+Supuestos!$G$36)</f>
        <v>-1538.95941424</v>
      </c>
      <c r="K5" s="7" t="n">
        <f aca="false">J5*(1+Supuestos!$G$43)</f>
        <v>-1585.1281966672</v>
      </c>
    </row>
    <row r="6" customFormat="false" ht="15" hidden="false" customHeight="false" outlineLevel="0" collapsed="false">
      <c r="B6" s="5" t="s">
        <v>153</v>
      </c>
      <c r="C6" s="3" t="s">
        <v>37</v>
      </c>
      <c r="E6" s="22" t="n">
        <f aca="false">-Ingresos!E21*Supuestos!$G$37</f>
        <v>-1200</v>
      </c>
      <c r="F6" s="22" t="n">
        <f aca="false">-Ingresos!F21*Supuestos!$G$37</f>
        <v>-1310.4</v>
      </c>
      <c r="G6" s="22" t="n">
        <f aca="false">-Ingresos!G21*Supuestos!$G$37</f>
        <v>-1430.9568</v>
      </c>
      <c r="H6" s="22" t="n">
        <f aca="false">-Ingresos!H21*Supuestos!$G$37</f>
        <v>-1562.6048256</v>
      </c>
      <c r="I6" s="22" t="n">
        <f aca="false">-Ingresos!I21*Supuestos!$G$37</f>
        <v>-1706.3644695552</v>
      </c>
      <c r="J6" s="22" t="n">
        <f aca="false">-Ingresos!J21*Supuestos!$G$37</f>
        <v>-1863.35000075428</v>
      </c>
      <c r="K6" s="22" t="n">
        <f aca="false">-Ingresos!K21*Supuestos!$G$37</f>
        <v>-1919.25050077691</v>
      </c>
    </row>
    <row r="8" customFormat="false" ht="15" hidden="false" customHeight="false" outlineLevel="0" collapsed="false">
      <c r="B8" s="3" t="s">
        <v>154</v>
      </c>
    </row>
  </sheetData>
  <sheetProtection sheet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4" topLeftCell="E5" activePane="bottomRight" state="frozen"/>
      <selection pane="topLeft" activeCell="A1" activeCellId="0" sqref="A1"/>
      <selection pane="topRight" activeCell="E1" activeCellId="0" sqref="E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6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11" min="5" style="0" width="12.5"/>
  </cols>
  <sheetData>
    <row r="2" customFormat="false" ht="15" hidden="false" customHeight="false" outlineLevel="0" collapsed="false">
      <c r="B2" s="1" t="s">
        <v>155</v>
      </c>
    </row>
    <row r="3" customFormat="false" ht="15" hidden="false" customHeight="false" outlineLevel="0" collapsed="false">
      <c r="B3" s="19" t="str">
        <f aca="false">CONCATENATE("Cifras en: ",Supuestos!$D$6)</f>
        <v>Cifras en: Millones de COP</v>
      </c>
    </row>
    <row r="4" customFormat="false" ht="15" hidden="false" customHeight="false" outlineLevel="0" collapsed="false">
      <c r="C4" s="2" t="s">
        <v>123</v>
      </c>
      <c r="D4" s="2" t="s">
        <v>124</v>
      </c>
      <c r="E4" s="20" t="s">
        <v>125</v>
      </c>
      <c r="F4" s="20" t="s">
        <v>126</v>
      </c>
      <c r="G4" s="20" t="s">
        <v>127</v>
      </c>
      <c r="H4" s="20" t="s">
        <v>128</v>
      </c>
      <c r="I4" s="20" t="s">
        <v>129</v>
      </c>
      <c r="J4" s="20" t="s">
        <v>130</v>
      </c>
      <c r="K4" s="20" t="s">
        <v>131</v>
      </c>
    </row>
    <row r="5" customFormat="false" ht="15" hidden="false" customHeight="false" outlineLevel="0" collapsed="false">
      <c r="B5" s="5" t="s">
        <v>156</v>
      </c>
      <c r="C5" s="3" t="s">
        <v>37</v>
      </c>
      <c r="E5" s="7" t="n">
        <v>0</v>
      </c>
      <c r="F5" s="7" t="n">
        <f aca="false">Supuestos!$D$47</f>
        <v>250</v>
      </c>
      <c r="G5" s="7" t="n">
        <f aca="false">Supuestos!$D$47</f>
        <v>250</v>
      </c>
      <c r="H5" s="7" t="n">
        <f aca="false">Supuestos!$D$47</f>
        <v>250</v>
      </c>
      <c r="I5" s="7" t="n">
        <f aca="false">Supuestos!$D$47</f>
        <v>250</v>
      </c>
      <c r="J5" s="7" t="n">
        <f aca="false">Supuestos!$D$47</f>
        <v>250</v>
      </c>
      <c r="K5" s="7" t="n">
        <f aca="false">(SUM(K10:K15)+Supuestos!$G$43*J21)/(1-1/Supuestos!$D$46)</f>
        <v>652.222222222222</v>
      </c>
    </row>
    <row r="6" customFormat="false" ht="15" hidden="false" customHeight="false" outlineLevel="0" collapsed="false">
      <c r="B6" s="5" t="s">
        <v>157</v>
      </c>
      <c r="C6" s="3" t="s">
        <v>37</v>
      </c>
      <c r="E6" s="22" t="n">
        <f aca="false">Supuestos!$D$48</f>
        <v>3000</v>
      </c>
      <c r="F6" s="22" t="n">
        <f aca="false">Supuestos!$G$41</f>
        <v>150</v>
      </c>
      <c r="G6" s="22" t="n">
        <f aca="false">Supuestos!$G$41</f>
        <v>150</v>
      </c>
      <c r="H6" s="22" t="n">
        <f aca="false">Supuestos!$G$41</f>
        <v>150</v>
      </c>
      <c r="I6" s="22" t="n">
        <f aca="false">Supuestos!$G$41</f>
        <v>150</v>
      </c>
      <c r="J6" s="22" t="n">
        <f aca="false">Supuestos!$G$41</f>
        <v>150</v>
      </c>
      <c r="K6" s="22" t="n">
        <f aca="false">0</f>
        <v>0</v>
      </c>
    </row>
    <row r="7" customFormat="false" ht="15" hidden="false" customHeight="false" outlineLevel="0" collapsed="false">
      <c r="B7" s="8" t="s">
        <v>158</v>
      </c>
      <c r="C7" s="3" t="s">
        <v>37</v>
      </c>
      <c r="D7" s="3" t="s">
        <v>159</v>
      </c>
      <c r="E7" s="7" t="n">
        <f aca="false">E5+E6</f>
        <v>3000</v>
      </c>
      <c r="F7" s="7" t="n">
        <f aca="false">F5+F6</f>
        <v>400</v>
      </c>
      <c r="G7" s="7" t="n">
        <f aca="false">G5+G6</f>
        <v>400</v>
      </c>
      <c r="H7" s="7" t="n">
        <f aca="false">H5+H6</f>
        <v>400</v>
      </c>
      <c r="I7" s="7" t="n">
        <f aca="false">I5+I6</f>
        <v>400</v>
      </c>
      <c r="J7" s="7" t="n">
        <f aca="false">J5+J6</f>
        <v>400</v>
      </c>
      <c r="K7" s="7" t="n">
        <f aca="false">K5+K6</f>
        <v>652.222222222222</v>
      </c>
    </row>
    <row r="9" customFormat="false" ht="15" hidden="false" customHeight="false" outlineLevel="0" collapsed="false">
      <c r="B9" s="2" t="s">
        <v>160</v>
      </c>
    </row>
    <row r="10" customFormat="false" ht="15" hidden="false" customHeight="false" outlineLevel="0" collapsed="false">
      <c r="B10" s="5" t="s">
        <v>161</v>
      </c>
      <c r="C10" s="3" t="s">
        <v>37</v>
      </c>
      <c r="F10" s="7" t="n">
        <f aca="false">IF(1&lt;=Supuestos!$D$46,E7/Supuestos!$D$46,0)</f>
        <v>300</v>
      </c>
      <c r="G10" s="7" t="n">
        <f aca="false">IF(2&lt;=Supuestos!$D$46,E7/Supuestos!$D$46,0)</f>
        <v>300</v>
      </c>
      <c r="H10" s="7" t="n">
        <f aca="false">IF(3&lt;=Supuestos!$D$46,E7/Supuestos!$D$46,0)</f>
        <v>300</v>
      </c>
      <c r="I10" s="7" t="n">
        <f aca="false">IF(4&lt;=Supuestos!$D$46,E7/Supuestos!$D$46,0)</f>
        <v>300</v>
      </c>
      <c r="J10" s="7" t="n">
        <f aca="false">IF(5&lt;=Supuestos!$D$46,E7/Supuestos!$D$46,0)</f>
        <v>300</v>
      </c>
      <c r="K10" s="7" t="n">
        <f aca="false">IF(6&lt;=Supuestos!$D$46,E7/Supuestos!$D$46,0)</f>
        <v>300</v>
      </c>
    </row>
    <row r="11" customFormat="false" ht="15" hidden="false" customHeight="false" outlineLevel="0" collapsed="false">
      <c r="B11" s="5" t="s">
        <v>162</v>
      </c>
      <c r="C11" s="3" t="s">
        <v>37</v>
      </c>
      <c r="F11" s="7" t="n">
        <f aca="false">IF(0&lt;=Supuestos!$D$46,F7/Supuestos!$D$46,0)</f>
        <v>40</v>
      </c>
      <c r="G11" s="7" t="n">
        <f aca="false">IF(1&lt;=Supuestos!$D$46,F7/Supuestos!$D$46,0)</f>
        <v>40</v>
      </c>
      <c r="H11" s="7" t="n">
        <f aca="false">IF(2&lt;=Supuestos!$D$46,F7/Supuestos!$D$46,0)</f>
        <v>40</v>
      </c>
      <c r="I11" s="7" t="n">
        <f aca="false">IF(3&lt;=Supuestos!$D$46,F7/Supuestos!$D$46,0)</f>
        <v>40</v>
      </c>
      <c r="J11" s="7" t="n">
        <f aca="false">IF(4&lt;=Supuestos!$D$46,F7/Supuestos!$D$46,0)</f>
        <v>40</v>
      </c>
      <c r="K11" s="7" t="n">
        <f aca="false">IF(5&lt;=Supuestos!$D$46,F7/Supuestos!$D$46,0)</f>
        <v>40</v>
      </c>
    </row>
    <row r="12" customFormat="false" ht="15" hidden="false" customHeight="false" outlineLevel="0" collapsed="false">
      <c r="B12" s="5" t="s">
        <v>163</v>
      </c>
      <c r="C12" s="3" t="s">
        <v>37</v>
      </c>
      <c r="G12" s="7" t="n">
        <f aca="false">IF(0&lt;=Supuestos!$D$46,G7/Supuestos!$D$46,0)</f>
        <v>40</v>
      </c>
      <c r="H12" s="7" t="n">
        <f aca="false">IF(1&lt;=Supuestos!$D$46,G7/Supuestos!$D$46,0)</f>
        <v>40</v>
      </c>
      <c r="I12" s="7" t="n">
        <f aca="false">IF(2&lt;=Supuestos!$D$46,G7/Supuestos!$D$46,0)</f>
        <v>40</v>
      </c>
      <c r="J12" s="7" t="n">
        <f aca="false">IF(3&lt;=Supuestos!$D$46,G7/Supuestos!$D$46,0)</f>
        <v>40</v>
      </c>
      <c r="K12" s="7" t="n">
        <f aca="false">IF(4&lt;=Supuestos!$D$46,G7/Supuestos!$D$46,0)</f>
        <v>40</v>
      </c>
    </row>
    <row r="13" customFormat="false" ht="15" hidden="false" customHeight="false" outlineLevel="0" collapsed="false">
      <c r="B13" s="5" t="s">
        <v>164</v>
      </c>
      <c r="C13" s="3" t="s">
        <v>37</v>
      </c>
      <c r="H13" s="7" t="n">
        <f aca="false">IF(0&lt;=Supuestos!$D$46,H7/Supuestos!$D$46,0)</f>
        <v>40</v>
      </c>
      <c r="I13" s="7" t="n">
        <f aca="false">IF(1&lt;=Supuestos!$D$46,H7/Supuestos!$D$46,0)</f>
        <v>40</v>
      </c>
      <c r="J13" s="7" t="n">
        <f aca="false">IF(2&lt;=Supuestos!$D$46,H7/Supuestos!$D$46,0)</f>
        <v>40</v>
      </c>
      <c r="K13" s="7" t="n">
        <f aca="false">IF(3&lt;=Supuestos!$D$46,H7/Supuestos!$D$46,0)</f>
        <v>40</v>
      </c>
    </row>
    <row r="14" customFormat="false" ht="15" hidden="false" customHeight="false" outlineLevel="0" collapsed="false">
      <c r="B14" s="5" t="s">
        <v>165</v>
      </c>
      <c r="C14" s="3" t="s">
        <v>37</v>
      </c>
      <c r="I14" s="7" t="n">
        <f aca="false">IF(0&lt;=Supuestos!$D$46,I7/Supuestos!$D$46,0)</f>
        <v>40</v>
      </c>
      <c r="J14" s="7" t="n">
        <f aca="false">IF(1&lt;=Supuestos!$D$46,I7/Supuestos!$D$46,0)</f>
        <v>40</v>
      </c>
      <c r="K14" s="7" t="n">
        <f aca="false">IF(2&lt;=Supuestos!$D$46,I7/Supuestos!$D$46,0)</f>
        <v>40</v>
      </c>
    </row>
    <row r="15" customFormat="false" ht="15" hidden="false" customHeight="false" outlineLevel="0" collapsed="false">
      <c r="B15" s="5" t="s">
        <v>166</v>
      </c>
      <c r="C15" s="3" t="s">
        <v>37</v>
      </c>
      <c r="J15" s="7" t="n">
        <f aca="false">IF(0&lt;=Supuestos!$D$46,J7/Supuestos!$D$46,0)</f>
        <v>40</v>
      </c>
      <c r="K15" s="7" t="n">
        <f aca="false">IF(1&lt;=Supuestos!$D$46,J7/Supuestos!$D$46,0)</f>
        <v>40</v>
      </c>
    </row>
    <row r="16" customFormat="false" ht="15" hidden="false" customHeight="false" outlineLevel="0" collapsed="false">
      <c r="B16" s="5" t="s">
        <v>167</v>
      </c>
      <c r="C16" s="3" t="s">
        <v>37</v>
      </c>
      <c r="K16" s="7" t="n">
        <f aca="false">IF(0&lt;=Supuestos!$D$46,K7/Supuestos!$D$46,0)</f>
        <v>65.2222222222222</v>
      </c>
    </row>
    <row r="17" customFormat="false" ht="15" hidden="false" customHeight="false" outlineLevel="0" collapsed="false">
      <c r="B17" s="8" t="s">
        <v>168</v>
      </c>
      <c r="C17" s="3" t="s">
        <v>37</v>
      </c>
      <c r="E17" s="7" t="n">
        <v>0</v>
      </c>
      <c r="F17" s="7" t="n">
        <f aca="false">SUM(F10:F16)</f>
        <v>340</v>
      </c>
      <c r="G17" s="7" t="n">
        <f aca="false">SUM(G10:G16)</f>
        <v>380</v>
      </c>
      <c r="H17" s="7" t="n">
        <f aca="false">SUM(H10:H16)</f>
        <v>420</v>
      </c>
      <c r="I17" s="7" t="n">
        <f aca="false">SUM(I10:I16)</f>
        <v>460</v>
      </c>
      <c r="J17" s="7" t="n">
        <f aca="false">SUM(J10:J16)</f>
        <v>500</v>
      </c>
      <c r="K17" s="7" t="n">
        <f aca="false">SUM(K10:K16)</f>
        <v>565.222222222222</v>
      </c>
    </row>
    <row r="19" customFormat="false" ht="15" hidden="false" customHeight="false" outlineLevel="0" collapsed="false">
      <c r="B19" s="5" t="s">
        <v>169</v>
      </c>
      <c r="C19" s="3" t="s">
        <v>37</v>
      </c>
      <c r="E19" s="7" t="n">
        <f aca="false">E7</f>
        <v>3000</v>
      </c>
      <c r="F19" s="7" t="n">
        <f aca="false">E19+F7</f>
        <v>3400</v>
      </c>
      <c r="G19" s="7" t="n">
        <f aca="false">F19+G7</f>
        <v>3800</v>
      </c>
      <c r="H19" s="7" t="n">
        <f aca="false">G19+H7</f>
        <v>4200</v>
      </c>
      <c r="I19" s="7" t="n">
        <f aca="false">H19+I7</f>
        <v>4600</v>
      </c>
      <c r="J19" s="7" t="n">
        <f aca="false">I19+J7</f>
        <v>5000</v>
      </c>
      <c r="K19" s="7" t="n">
        <f aca="false">J19+K7</f>
        <v>5652.22222222222</v>
      </c>
    </row>
    <row r="20" customFormat="false" ht="15" hidden="false" customHeight="false" outlineLevel="0" collapsed="false">
      <c r="B20" s="5" t="s">
        <v>170</v>
      </c>
      <c r="C20" s="3" t="s">
        <v>37</v>
      </c>
      <c r="E20" s="7" t="n">
        <v>0</v>
      </c>
      <c r="F20" s="7" t="n">
        <f aca="false">E20+F17</f>
        <v>340</v>
      </c>
      <c r="G20" s="7" t="n">
        <f aca="false">F20+G17</f>
        <v>720</v>
      </c>
      <c r="H20" s="7" t="n">
        <f aca="false">G20+H17</f>
        <v>1140</v>
      </c>
      <c r="I20" s="7" t="n">
        <f aca="false">H20+I17</f>
        <v>1600</v>
      </c>
      <c r="J20" s="7" t="n">
        <f aca="false">I20+J17</f>
        <v>2100</v>
      </c>
      <c r="K20" s="7" t="n">
        <f aca="false">J20+K17</f>
        <v>2665.22222222222</v>
      </c>
    </row>
    <row r="21" customFormat="false" ht="15" hidden="false" customHeight="false" outlineLevel="0" collapsed="false">
      <c r="B21" s="8" t="s">
        <v>171</v>
      </c>
      <c r="C21" s="3" t="s">
        <v>37</v>
      </c>
      <c r="D21" s="3" t="s">
        <v>159</v>
      </c>
      <c r="E21" s="7" t="n">
        <f aca="false">E19-E20</f>
        <v>3000</v>
      </c>
      <c r="F21" s="7" t="n">
        <f aca="false">F19-F20</f>
        <v>3060</v>
      </c>
      <c r="G21" s="7" t="n">
        <f aca="false">G19-G20</f>
        <v>3080</v>
      </c>
      <c r="H21" s="7" t="n">
        <f aca="false">H19-H20</f>
        <v>3060</v>
      </c>
      <c r="I21" s="7" t="n">
        <f aca="false">I19-I20</f>
        <v>3000</v>
      </c>
      <c r="J21" s="7" t="n">
        <f aca="false">J19-J20</f>
        <v>2900</v>
      </c>
      <c r="K21" s="7" t="n">
        <f aca="false">K19-K20</f>
        <v>2987</v>
      </c>
    </row>
    <row r="23" customFormat="false" ht="15" hidden="false" customHeight="false" outlineLevel="0" collapsed="false">
      <c r="B23" s="3" t="s">
        <v>172</v>
      </c>
    </row>
  </sheetData>
  <sheetProtection sheet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1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4" topLeftCell="E5" activePane="bottomRight" state="frozen"/>
      <selection pane="topLeft" activeCell="A1" activeCellId="0" sqref="A1"/>
      <selection pane="topRight" activeCell="E1" activeCellId="0" sqref="E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6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11" min="5" style="0" width="12.5"/>
  </cols>
  <sheetData>
    <row r="2" customFormat="false" ht="15" hidden="false" customHeight="false" outlineLevel="0" collapsed="false">
      <c r="B2" s="1" t="s">
        <v>173</v>
      </c>
    </row>
    <row r="3" customFormat="false" ht="15" hidden="false" customHeight="false" outlineLevel="0" collapsed="false">
      <c r="B3" s="19" t="str">
        <f aca="false">CONCATENATE("Cifras en: ",Supuestos!$D$6)</f>
        <v>Cifras en: Millones de COP</v>
      </c>
    </row>
    <row r="4" customFormat="false" ht="15" hidden="false" customHeight="false" outlineLevel="0" collapsed="false">
      <c r="C4" s="2" t="s">
        <v>123</v>
      </c>
      <c r="D4" s="2" t="s">
        <v>124</v>
      </c>
      <c r="E4" s="20" t="s">
        <v>125</v>
      </c>
      <c r="F4" s="20" t="s">
        <v>126</v>
      </c>
      <c r="G4" s="20" t="s">
        <v>127</v>
      </c>
      <c r="H4" s="20" t="s">
        <v>128</v>
      </c>
      <c r="I4" s="20" t="s">
        <v>129</v>
      </c>
      <c r="J4" s="20" t="s">
        <v>130</v>
      </c>
      <c r="K4" s="20" t="s">
        <v>131</v>
      </c>
    </row>
    <row r="5" customFormat="false" ht="15" hidden="false" customHeight="false" outlineLevel="0" collapsed="false">
      <c r="B5" s="5" t="s">
        <v>174</v>
      </c>
      <c r="C5" s="3" t="s">
        <v>37</v>
      </c>
      <c r="D5" s="3" t="s">
        <v>175</v>
      </c>
      <c r="E5" s="22" t="n">
        <f aca="false">Ingresos!E21*Supuestos!$G$38/Supuestos!$D$82</f>
        <v>3835.61643835616</v>
      </c>
      <c r="F5" s="22" t="n">
        <f aca="false">Ingresos!F21*Supuestos!$G$38/Supuestos!$D$82</f>
        <v>4188.49315068493</v>
      </c>
      <c r="G5" s="22" t="n">
        <f aca="false">Ingresos!G21*Supuestos!$G$38/Supuestos!$D$82</f>
        <v>4573.83452054795</v>
      </c>
      <c r="H5" s="22" t="n">
        <f aca="false">Ingresos!H21*Supuestos!$G$38/Supuestos!$D$82</f>
        <v>4994.62729643836</v>
      </c>
      <c r="I5" s="22" t="n">
        <f aca="false">Ingresos!I21*Supuestos!$G$38/Supuestos!$D$82</f>
        <v>5454.13300771069</v>
      </c>
      <c r="J5" s="22" t="n">
        <f aca="false">Ingresos!J21*Supuestos!$G$38/Supuestos!$D$82</f>
        <v>5955.91324442007</v>
      </c>
      <c r="K5" s="22" t="n">
        <f aca="false">Ingresos!K21*Supuestos!$G$38/Supuestos!$D$82</f>
        <v>6134.59064175267</v>
      </c>
    </row>
    <row r="6" customFormat="false" ht="15" hidden="false" customHeight="false" outlineLevel="0" collapsed="false">
      <c r="B6" s="5" t="s">
        <v>176</v>
      </c>
      <c r="C6" s="3" t="s">
        <v>37</v>
      </c>
      <c r="D6" s="3" t="s">
        <v>175</v>
      </c>
      <c r="E6" s="22" t="n">
        <f aca="false">(-Ingresos!E22)*Supuestos!$G$39/Supuestos!$D$82</f>
        <v>2410.95890410959</v>
      </c>
      <c r="F6" s="22" t="n">
        <f aca="false">(-Ingresos!F22)*Supuestos!$G$39/Supuestos!$D$82</f>
        <v>2632.76712328767</v>
      </c>
      <c r="G6" s="22" t="n">
        <f aca="false">(-Ingresos!G22)*Supuestos!$G$39/Supuestos!$D$82</f>
        <v>2874.98169863014</v>
      </c>
      <c r="H6" s="22" t="n">
        <f aca="false">(-Ingresos!H22)*Supuestos!$G$39/Supuestos!$D$82</f>
        <v>3139.48001490411</v>
      </c>
      <c r="I6" s="22" t="n">
        <f aca="false">(-Ingresos!I22)*Supuestos!$G$39/Supuestos!$D$82</f>
        <v>3428.31217627529</v>
      </c>
      <c r="J6" s="22" t="n">
        <f aca="false">(-Ingresos!J22)*Supuestos!$G$39/Supuestos!$D$82</f>
        <v>3743.71689649262</v>
      </c>
      <c r="K6" s="22" t="n">
        <f aca="false">(-Ingresos!K22)*Supuestos!$G$39/Supuestos!$D$82</f>
        <v>3856.02840338739</v>
      </c>
    </row>
    <row r="7" customFormat="false" ht="15" hidden="false" customHeight="false" outlineLevel="0" collapsed="false">
      <c r="B7" s="5" t="s">
        <v>177</v>
      </c>
      <c r="C7" s="3" t="s">
        <v>37</v>
      </c>
      <c r="E7" s="22" t="n">
        <f aca="false">(-Ingresos!E22)</f>
        <v>35200</v>
      </c>
      <c r="F7" s="22" t="n">
        <f aca="false">(-Ingresos!F22)+F6-E6</f>
        <v>38660.2082191781</v>
      </c>
      <c r="G7" s="22" t="n">
        <f aca="false">(-Ingresos!G22)+G6-F6</f>
        <v>42216.9473753425</v>
      </c>
      <c r="H7" s="22" t="n">
        <f aca="false">(-Ingresos!H22)+H6-G6</f>
        <v>46100.906533874</v>
      </c>
      <c r="I7" s="22" t="n">
        <f aca="false">(-Ingresos!I22)+I6-H6</f>
        <v>50342.1899349904</v>
      </c>
      <c r="J7" s="22" t="n">
        <f aca="false">(-Ingresos!J22)+J6-I6</f>
        <v>54973.6714090095</v>
      </c>
      <c r="K7" s="22" t="n">
        <f aca="false">(-Ingresos!K22)+K6-J6</f>
        <v>56410.3261963507</v>
      </c>
    </row>
    <row r="8" customFormat="false" ht="15" hidden="false" customHeight="false" outlineLevel="0" collapsed="false">
      <c r="B8" s="5" t="s">
        <v>178</v>
      </c>
      <c r="C8" s="3" t="s">
        <v>37</v>
      </c>
      <c r="D8" s="3" t="s">
        <v>175</v>
      </c>
      <c r="E8" s="7" t="n">
        <f aca="false">E7*Supuestos!$G$40/Supuestos!$D$82</f>
        <v>3857.53424657534</v>
      </c>
      <c r="F8" s="7" t="n">
        <f aca="false">F7*Supuestos!$G$40/Supuestos!$D$82</f>
        <v>4236.73514730719</v>
      </c>
      <c r="G8" s="7" t="n">
        <f aca="false">G7*Supuestos!$G$40/Supuestos!$D$82</f>
        <v>4626.51478085945</v>
      </c>
      <c r="H8" s="7" t="n">
        <f aca="false">H7*Supuestos!$G$40/Supuestos!$D$82</f>
        <v>5052.15414069852</v>
      </c>
      <c r="I8" s="7" t="n">
        <f aca="false">I7*Supuestos!$G$40/Supuestos!$D$82</f>
        <v>5516.95232164278</v>
      </c>
      <c r="J8" s="7" t="n">
        <f aca="false">J7*Supuestos!$G$40/Supuestos!$D$82</f>
        <v>6024.51193523392</v>
      </c>
      <c r="K8" s="7" t="n">
        <f aca="false">K7*Supuestos!$G$40/Supuestos!$D$82</f>
        <v>6181.95355576446</v>
      </c>
    </row>
    <row r="9" customFormat="false" ht="15" hidden="false" customHeight="false" outlineLevel="0" collapsed="false">
      <c r="B9" s="8" t="s">
        <v>179</v>
      </c>
      <c r="C9" s="3" t="s">
        <v>37</v>
      </c>
      <c r="E9" s="7" t="n">
        <f aca="false">E5+E6-E8</f>
        <v>2389.04109589041</v>
      </c>
      <c r="F9" s="7" t="n">
        <f aca="false">F5+F6-F8</f>
        <v>2584.52512666542</v>
      </c>
      <c r="G9" s="7" t="n">
        <f aca="false">G5+G6-G8</f>
        <v>2822.30143831863</v>
      </c>
      <c r="H9" s="7" t="n">
        <f aca="false">H5+H6-H8</f>
        <v>3081.95317064395</v>
      </c>
      <c r="I9" s="7" t="n">
        <f aca="false">I5+I6-I8</f>
        <v>3365.49286234319</v>
      </c>
      <c r="J9" s="7" t="n">
        <f aca="false">J5+J6-J8</f>
        <v>3675.11820567877</v>
      </c>
      <c r="K9" s="7" t="n">
        <f aca="false">K5+K6-K8</f>
        <v>3808.6654893756</v>
      </c>
    </row>
    <row r="10" customFormat="false" ht="15" hidden="false" customHeight="false" outlineLevel="0" collapsed="false">
      <c r="B10" s="5" t="s">
        <v>180</v>
      </c>
      <c r="C10" s="3" t="s">
        <v>37</v>
      </c>
      <c r="E10" s="7" t="n">
        <v>0</v>
      </c>
      <c r="F10" s="7" t="n">
        <f aca="false">F9-E9</f>
        <v>195.484030775003</v>
      </c>
      <c r="G10" s="7" t="n">
        <f aca="false">G9-F9</f>
        <v>237.776311653219</v>
      </c>
      <c r="H10" s="7" t="n">
        <f aca="false">H9-G9</f>
        <v>259.651732325314</v>
      </c>
      <c r="I10" s="7" t="n">
        <f aca="false">I9-H9</f>
        <v>283.539691699245</v>
      </c>
      <c r="J10" s="7" t="n">
        <f aca="false">J9-I9</f>
        <v>309.625343335573</v>
      </c>
      <c r="K10" s="7" t="n">
        <f aca="false">K9-J9</f>
        <v>133.547283696837</v>
      </c>
    </row>
    <row r="12" customFormat="false" ht="15" hidden="false" customHeight="false" outlineLevel="0" collapsed="false">
      <c r="B12" s="3" t="s">
        <v>181</v>
      </c>
    </row>
  </sheetData>
  <sheetProtection sheet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4" topLeftCell="E5" activePane="bottomRight" state="frozen"/>
      <selection pane="topLeft" activeCell="A1" activeCellId="0" sqref="A1"/>
      <selection pane="topRight" activeCell="E1" activeCellId="0" sqref="E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6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11" min="5" style="0" width="12.5"/>
  </cols>
  <sheetData>
    <row r="2" customFormat="false" ht="15" hidden="false" customHeight="false" outlineLevel="0" collapsed="false">
      <c r="B2" s="1" t="s">
        <v>182</v>
      </c>
    </row>
    <row r="3" customFormat="false" ht="15" hidden="false" customHeight="false" outlineLevel="0" collapsed="false">
      <c r="B3" s="19" t="str">
        <f aca="false">CONCATENATE("Cifras en: ",Supuestos!$D$6)</f>
        <v>Cifras en: Millones de COP</v>
      </c>
    </row>
    <row r="4" customFormat="false" ht="15" hidden="false" customHeight="false" outlineLevel="0" collapsed="false">
      <c r="C4" s="2" t="s">
        <v>123</v>
      </c>
      <c r="D4" s="2" t="s">
        <v>124</v>
      </c>
      <c r="F4" s="20" t="s">
        <v>126</v>
      </c>
      <c r="G4" s="20" t="s">
        <v>127</v>
      </c>
      <c r="H4" s="20" t="s">
        <v>128</v>
      </c>
      <c r="I4" s="20" t="s">
        <v>129</v>
      </c>
      <c r="J4" s="20" t="s">
        <v>130</v>
      </c>
      <c r="K4" s="20" t="s">
        <v>131</v>
      </c>
    </row>
    <row r="5" customFormat="false" ht="15" hidden="false" customHeight="false" outlineLevel="0" collapsed="false">
      <c r="B5" s="5" t="s">
        <v>183</v>
      </c>
      <c r="C5" s="3" t="s">
        <v>37</v>
      </c>
      <c r="D5" s="3" t="s">
        <v>184</v>
      </c>
      <c r="F5" s="7" t="n">
        <f aca="false">Supuestos!$D$51</f>
        <v>2000</v>
      </c>
      <c r="G5" s="7" t="n">
        <f aca="false">F7</f>
        <v>1600</v>
      </c>
      <c r="H5" s="7" t="n">
        <f aca="false">G7</f>
        <v>1200</v>
      </c>
      <c r="I5" s="7" t="n">
        <f aca="false">H7</f>
        <v>800</v>
      </c>
      <c r="J5" s="7" t="n">
        <f aca="false">I7</f>
        <v>400</v>
      </c>
      <c r="K5" s="7" t="n">
        <f aca="false">J7</f>
        <v>0</v>
      </c>
    </row>
    <row r="6" customFormat="false" ht="15" hidden="false" customHeight="false" outlineLevel="0" collapsed="false">
      <c r="B6" s="5" t="s">
        <v>185</v>
      </c>
      <c r="C6" s="3" t="s">
        <v>37</v>
      </c>
      <c r="F6" s="7" t="n">
        <f aca="false">-IF(AND(1&gt;Supuestos!$D$53,1&lt;=Supuestos!$D$52),Supuestos!$D$51/(Supuestos!$D$52-Supuestos!$D$53),0)</f>
        <v>-400</v>
      </c>
      <c r="G6" s="7" t="n">
        <f aca="false">-IF(AND(2&gt;Supuestos!$D$53,2&lt;=Supuestos!$D$52),Supuestos!$D$51/(Supuestos!$D$52-Supuestos!$D$53),0)</f>
        <v>-400</v>
      </c>
      <c r="H6" s="7" t="n">
        <f aca="false">-IF(AND(3&gt;Supuestos!$D$53,3&lt;=Supuestos!$D$52),Supuestos!$D$51/(Supuestos!$D$52-Supuestos!$D$53),0)</f>
        <v>-400</v>
      </c>
      <c r="I6" s="7" t="n">
        <f aca="false">-IF(AND(4&gt;Supuestos!$D$53,4&lt;=Supuestos!$D$52),Supuestos!$D$51/(Supuestos!$D$52-Supuestos!$D$53),0)</f>
        <v>-400</v>
      </c>
      <c r="J6" s="7" t="n">
        <f aca="false">-IF(AND(5&gt;Supuestos!$D$53,5&lt;=Supuestos!$D$52),Supuestos!$D$51/(Supuestos!$D$52-Supuestos!$D$53),0)</f>
        <v>-400</v>
      </c>
      <c r="K6" s="7" t="n">
        <f aca="false">-IF(AND(6&gt;Supuestos!$D$53,6&lt;=Supuestos!$D$52),Supuestos!$D$51/(Supuestos!$D$52-Supuestos!$D$53),0)</f>
        <v>-0</v>
      </c>
    </row>
    <row r="7" customFormat="false" ht="15" hidden="false" customHeight="false" outlineLevel="0" collapsed="false">
      <c r="B7" s="5" t="s">
        <v>186</v>
      </c>
      <c r="C7" s="3" t="s">
        <v>37</v>
      </c>
      <c r="F7" s="7" t="n">
        <f aca="false">F5+F6</f>
        <v>1600</v>
      </c>
      <c r="G7" s="7" t="n">
        <f aca="false">G5+G6</f>
        <v>1200</v>
      </c>
      <c r="H7" s="7" t="n">
        <f aca="false">H5+H6</f>
        <v>800</v>
      </c>
      <c r="I7" s="7" t="n">
        <f aca="false">I5+I6</f>
        <v>400</v>
      </c>
      <c r="J7" s="7" t="n">
        <f aca="false">J5+J6</f>
        <v>0</v>
      </c>
      <c r="K7" s="7" t="n">
        <f aca="false">K5+K6</f>
        <v>0</v>
      </c>
    </row>
    <row r="8" customFormat="false" ht="15" hidden="false" customHeight="false" outlineLevel="0" collapsed="false">
      <c r="B8" s="5" t="s">
        <v>187</v>
      </c>
      <c r="C8" s="3" t="s">
        <v>37</v>
      </c>
      <c r="F8" s="7" t="n">
        <f aca="false">F5*Supuestos!$G$42</f>
        <v>280</v>
      </c>
      <c r="G8" s="7" t="n">
        <f aca="false">G5*Supuestos!$G$42</f>
        <v>224</v>
      </c>
      <c r="H8" s="7" t="n">
        <f aca="false">H5*Supuestos!$G$42</f>
        <v>168</v>
      </c>
      <c r="I8" s="7" t="n">
        <f aca="false">I5*Supuestos!$G$42</f>
        <v>112</v>
      </c>
      <c r="J8" s="7" t="n">
        <f aca="false">J5*Supuestos!$G$42</f>
        <v>56</v>
      </c>
      <c r="K8" s="7" t="n">
        <f aca="false">K5*Supuestos!$G$42</f>
        <v>0</v>
      </c>
    </row>
    <row r="10" customFormat="false" ht="15" hidden="false" customHeight="false" outlineLevel="0" collapsed="false">
      <c r="B10" s="5" t="s">
        <v>188</v>
      </c>
      <c r="C10" s="3" t="s">
        <v>37</v>
      </c>
      <c r="D10" s="3" t="s">
        <v>184</v>
      </c>
      <c r="F10" s="7" t="n">
        <f aca="false">Supuestos!$D$55</f>
        <v>0</v>
      </c>
      <c r="G10" s="7" t="n">
        <f aca="false">F12</f>
        <v>0</v>
      </c>
      <c r="H10" s="7" t="n">
        <f aca="false">G12</f>
        <v>0</v>
      </c>
      <c r="I10" s="7" t="n">
        <f aca="false">H12</f>
        <v>0</v>
      </c>
      <c r="J10" s="7" t="n">
        <f aca="false">I12</f>
        <v>0</v>
      </c>
      <c r="K10" s="7" t="n">
        <f aca="false">J12</f>
        <v>0</v>
      </c>
    </row>
    <row r="11" customFormat="false" ht="15" hidden="false" customHeight="false" outlineLevel="0" collapsed="false">
      <c r="B11" s="5" t="s">
        <v>189</v>
      </c>
      <c r="C11" s="3" t="s">
        <v>37</v>
      </c>
      <c r="F11" s="7" t="n">
        <f aca="false">-IF(AND(1&gt;Supuestos!$D$57,1&lt;=Supuestos!$D$56),Supuestos!$D$55/(Supuestos!$D$56-Supuestos!$D$57),0)</f>
        <v>-0</v>
      </c>
      <c r="G11" s="7" t="n">
        <f aca="false">-IF(AND(2&gt;Supuestos!$D$57,2&lt;=Supuestos!$D$56),Supuestos!$D$55/(Supuestos!$D$56-Supuestos!$D$57),0)</f>
        <v>-0</v>
      </c>
      <c r="H11" s="7" t="n">
        <f aca="false">-IF(AND(3&gt;Supuestos!$D$57,3&lt;=Supuestos!$D$56),Supuestos!$D$55/(Supuestos!$D$56-Supuestos!$D$57),0)</f>
        <v>-0</v>
      </c>
      <c r="I11" s="7" t="n">
        <f aca="false">-IF(AND(4&gt;Supuestos!$D$57,4&lt;=Supuestos!$D$56),Supuestos!$D$55/(Supuestos!$D$56-Supuestos!$D$57),0)</f>
        <v>-0</v>
      </c>
      <c r="J11" s="7" t="n">
        <f aca="false">-IF(AND(5&gt;Supuestos!$D$57,5&lt;=Supuestos!$D$56),Supuestos!$D$55/(Supuestos!$D$56-Supuestos!$D$57),0)</f>
        <v>-0</v>
      </c>
      <c r="K11" s="7" t="n">
        <f aca="false">-IF(AND(6&gt;Supuestos!$D$57,6&lt;=Supuestos!$D$56),Supuestos!$D$55/(Supuestos!$D$56-Supuestos!$D$57),0)</f>
        <v>-0</v>
      </c>
    </row>
    <row r="12" customFormat="false" ht="15" hidden="false" customHeight="false" outlineLevel="0" collapsed="false">
      <c r="B12" s="5" t="s">
        <v>190</v>
      </c>
      <c r="C12" s="3" t="s">
        <v>37</v>
      </c>
      <c r="F12" s="7" t="n">
        <f aca="false">F10+F11</f>
        <v>0</v>
      </c>
      <c r="G12" s="7" t="n">
        <f aca="false">G10+G11</f>
        <v>0</v>
      </c>
      <c r="H12" s="7" t="n">
        <f aca="false">H10+H11</f>
        <v>0</v>
      </c>
      <c r="I12" s="7" t="n">
        <f aca="false">I10+I11</f>
        <v>0</v>
      </c>
      <c r="J12" s="7" t="n">
        <f aca="false">J10+J11</f>
        <v>0</v>
      </c>
      <c r="K12" s="7" t="n">
        <f aca="false">K10+K11</f>
        <v>0</v>
      </c>
    </row>
    <row r="13" customFormat="false" ht="15" hidden="false" customHeight="false" outlineLevel="0" collapsed="false">
      <c r="B13" s="5" t="s">
        <v>191</v>
      </c>
      <c r="C13" s="3" t="s">
        <v>37</v>
      </c>
      <c r="F13" s="7" t="n">
        <f aca="false">F10*Supuestos!$D$58</f>
        <v>0</v>
      </c>
      <c r="G13" s="7" t="n">
        <f aca="false">G10*Supuestos!$D$58</f>
        <v>0</v>
      </c>
      <c r="H13" s="7" t="n">
        <f aca="false">H10*Supuestos!$D$58</f>
        <v>0</v>
      </c>
      <c r="I13" s="7" t="n">
        <f aca="false">I10*Supuestos!$D$58</f>
        <v>0</v>
      </c>
      <c r="J13" s="7" t="n">
        <f aca="false">J10*Supuestos!$D$58</f>
        <v>0</v>
      </c>
      <c r="K13" s="7" t="n">
        <f aca="false">K10*Supuestos!$D$58</f>
        <v>0</v>
      </c>
    </row>
    <row r="15" customFormat="false" ht="15" hidden="false" customHeight="false" outlineLevel="0" collapsed="false">
      <c r="B15" s="5" t="s">
        <v>192</v>
      </c>
      <c r="C15" s="3" t="s">
        <v>37</v>
      </c>
      <c r="D15" s="3" t="s">
        <v>184</v>
      </c>
      <c r="F15" s="7" t="n">
        <f aca="false">Supuestos!$D$59</f>
        <v>0</v>
      </c>
      <c r="G15" s="7" t="n">
        <f aca="false">F17</f>
        <v>0</v>
      </c>
      <c r="H15" s="7" t="n">
        <f aca="false">G17</f>
        <v>0</v>
      </c>
      <c r="I15" s="7" t="n">
        <f aca="false">H17</f>
        <v>0</v>
      </c>
      <c r="J15" s="7" t="n">
        <f aca="false">I17</f>
        <v>0</v>
      </c>
      <c r="K15" s="7" t="n">
        <f aca="false">J17</f>
        <v>0</v>
      </c>
    </row>
    <row r="16" customFormat="false" ht="15" hidden="false" customHeight="false" outlineLevel="0" collapsed="false">
      <c r="B16" s="5" t="s">
        <v>193</v>
      </c>
      <c r="C16" s="3" t="s">
        <v>37</v>
      </c>
      <c r="F16" s="7" t="n">
        <f aca="false">-IF(AND(1&gt;Supuestos!$D$61,1&lt;=Supuestos!$D$60),Supuestos!$D$59/(Supuestos!$D$60-Supuestos!$D$61),0)</f>
        <v>-0</v>
      </c>
      <c r="G16" s="7" t="n">
        <f aca="false">-IF(AND(2&gt;Supuestos!$D$61,2&lt;=Supuestos!$D$60),Supuestos!$D$59/(Supuestos!$D$60-Supuestos!$D$61),0)</f>
        <v>-0</v>
      </c>
      <c r="H16" s="7" t="n">
        <f aca="false">-IF(AND(3&gt;Supuestos!$D$61,3&lt;=Supuestos!$D$60),Supuestos!$D$59/(Supuestos!$D$60-Supuestos!$D$61),0)</f>
        <v>-0</v>
      </c>
      <c r="I16" s="7" t="n">
        <f aca="false">-IF(AND(4&gt;Supuestos!$D$61,4&lt;=Supuestos!$D$60),Supuestos!$D$59/(Supuestos!$D$60-Supuestos!$D$61),0)</f>
        <v>-0</v>
      </c>
      <c r="J16" s="7" t="n">
        <f aca="false">-IF(AND(5&gt;Supuestos!$D$61,5&lt;=Supuestos!$D$60),Supuestos!$D$59/(Supuestos!$D$60-Supuestos!$D$61),0)</f>
        <v>-0</v>
      </c>
      <c r="K16" s="7" t="n">
        <f aca="false">-IF(AND(6&gt;Supuestos!$D$61,6&lt;=Supuestos!$D$60),Supuestos!$D$59/(Supuestos!$D$60-Supuestos!$D$61),0)</f>
        <v>-0</v>
      </c>
    </row>
    <row r="17" customFormat="false" ht="15" hidden="false" customHeight="false" outlineLevel="0" collapsed="false">
      <c r="B17" s="5" t="s">
        <v>194</v>
      </c>
      <c r="C17" s="3" t="s">
        <v>37</v>
      </c>
      <c r="F17" s="7" t="n">
        <f aca="false">F15+F16</f>
        <v>0</v>
      </c>
      <c r="G17" s="7" t="n">
        <f aca="false">G15+G16</f>
        <v>0</v>
      </c>
      <c r="H17" s="7" t="n">
        <f aca="false">H15+H16</f>
        <v>0</v>
      </c>
      <c r="I17" s="7" t="n">
        <f aca="false">I15+I16</f>
        <v>0</v>
      </c>
      <c r="J17" s="7" t="n">
        <f aca="false">J15+J16</f>
        <v>0</v>
      </c>
      <c r="K17" s="7" t="n">
        <f aca="false">K15+K16</f>
        <v>0</v>
      </c>
    </row>
    <row r="18" customFormat="false" ht="15" hidden="false" customHeight="false" outlineLevel="0" collapsed="false">
      <c r="B18" s="5" t="s">
        <v>195</v>
      </c>
      <c r="C18" s="3" t="s">
        <v>37</v>
      </c>
      <c r="F18" s="7" t="n">
        <f aca="false">F15*Supuestos!$D$62</f>
        <v>0</v>
      </c>
      <c r="G18" s="7" t="n">
        <f aca="false">G15*Supuestos!$D$62</f>
        <v>0</v>
      </c>
      <c r="H18" s="7" t="n">
        <f aca="false">H15*Supuestos!$D$62</f>
        <v>0</v>
      </c>
      <c r="I18" s="7" t="n">
        <f aca="false">I15*Supuestos!$D$62</f>
        <v>0</v>
      </c>
      <c r="J18" s="7" t="n">
        <f aca="false">J15*Supuestos!$D$62</f>
        <v>0</v>
      </c>
      <c r="K18" s="7" t="n">
        <f aca="false">K15*Supuestos!$D$62</f>
        <v>0</v>
      </c>
    </row>
    <row r="20" customFormat="false" ht="15" hidden="false" customHeight="false" outlineLevel="0" collapsed="false">
      <c r="B20" s="8" t="s">
        <v>196</v>
      </c>
      <c r="C20" s="3" t="s">
        <v>37</v>
      </c>
      <c r="F20" s="7" t="n">
        <f aca="false">F6+F11+F16</f>
        <v>-400</v>
      </c>
      <c r="G20" s="7" t="n">
        <f aca="false">G6+G11+G16</f>
        <v>-400</v>
      </c>
      <c r="H20" s="7" t="n">
        <f aca="false">H6+H11+H16</f>
        <v>-400</v>
      </c>
      <c r="I20" s="7" t="n">
        <f aca="false">I6+I11+I16</f>
        <v>-400</v>
      </c>
      <c r="J20" s="7" t="n">
        <f aca="false">J6+J11+J16</f>
        <v>-400</v>
      </c>
      <c r="K20" s="7" t="n">
        <f aca="false">K6+K11+K16</f>
        <v>-0</v>
      </c>
    </row>
    <row r="21" customFormat="false" ht="15" hidden="false" customHeight="false" outlineLevel="0" collapsed="false">
      <c r="B21" s="8" t="s">
        <v>197</v>
      </c>
      <c r="C21" s="3" t="s">
        <v>37</v>
      </c>
      <c r="F21" s="7" t="n">
        <f aca="false">F8+F13+F18</f>
        <v>280</v>
      </c>
      <c r="G21" s="7" t="n">
        <f aca="false">G8+G13+G18</f>
        <v>224</v>
      </c>
      <c r="H21" s="7" t="n">
        <f aca="false">H8+H13+H18</f>
        <v>168</v>
      </c>
      <c r="I21" s="7" t="n">
        <f aca="false">I8+I13+I18</f>
        <v>112</v>
      </c>
      <c r="J21" s="7" t="n">
        <f aca="false">J8+J13+J18</f>
        <v>56</v>
      </c>
      <c r="K21" s="7" t="n">
        <f aca="false">K8+K13+K18</f>
        <v>0</v>
      </c>
    </row>
    <row r="22" customFormat="false" ht="15" hidden="false" customHeight="false" outlineLevel="0" collapsed="false">
      <c r="B22" s="8" t="s">
        <v>198</v>
      </c>
      <c r="C22" s="3" t="s">
        <v>37</v>
      </c>
      <c r="D22" s="3" t="s">
        <v>184</v>
      </c>
      <c r="F22" s="7" t="n">
        <f aca="false">F7+F12+F17</f>
        <v>1600</v>
      </c>
      <c r="G22" s="7" t="n">
        <f aca="false">G7+G12+G17</f>
        <v>1200</v>
      </c>
      <c r="H22" s="7" t="n">
        <f aca="false">H7+H12+H17</f>
        <v>800</v>
      </c>
      <c r="I22" s="7" t="n">
        <f aca="false">I7+I12+I17</f>
        <v>400</v>
      </c>
      <c r="J22" s="7" t="n">
        <f aca="false">J7+J12+J17</f>
        <v>0</v>
      </c>
      <c r="K22" s="7" t="n">
        <f aca="false">K7+K12+K17</f>
        <v>0</v>
      </c>
    </row>
    <row r="23" customFormat="false" ht="15" hidden="false" customHeight="false" outlineLevel="0" collapsed="false">
      <c r="B23" s="5" t="s">
        <v>199</v>
      </c>
      <c r="C23" s="3" t="s">
        <v>37</v>
      </c>
      <c r="D23" s="3" t="s">
        <v>184</v>
      </c>
      <c r="E23" s="7" t="n">
        <f aca="false">Supuestos!$D$51+Supuestos!$D$55+Supuestos!$D$59</f>
        <v>2000</v>
      </c>
    </row>
    <row r="25" customFormat="false" ht="15" hidden="false" customHeight="false" outlineLevel="0" collapsed="false">
      <c r="B25" s="5" t="s">
        <v>200</v>
      </c>
      <c r="C25" s="3" t="s">
        <v>72</v>
      </c>
      <c r="E25" s="23" t="n">
        <f aca="false">IFERROR(E23/AVERAGE(Modelo!F23:J23),"—")</f>
        <v>1.19961027008104</v>
      </c>
    </row>
    <row r="27" customFormat="false" ht="15" hidden="false" customHeight="false" outlineLevel="0" collapsed="false">
      <c r="B27" s="3" t="s">
        <v>201</v>
      </c>
    </row>
  </sheetData>
  <sheetProtection sheet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4" topLeftCell="E5" activePane="bottomRight" state="frozen"/>
      <selection pane="topLeft" activeCell="A1" activeCellId="0" sqref="A1"/>
      <selection pane="topRight" activeCell="E1" activeCellId="0" sqref="E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8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11" min="5" style="0" width="12.5"/>
  </cols>
  <sheetData>
    <row r="2" customFormat="false" ht="15" hidden="false" customHeight="false" outlineLevel="0" collapsed="false">
      <c r="B2" s="1" t="s">
        <v>202</v>
      </c>
    </row>
    <row r="3" customFormat="false" ht="15" hidden="false" customHeight="false" outlineLevel="0" collapsed="false">
      <c r="B3" s="19" t="str">
        <f aca="false">CONCATENATE("Cifras en: ",Supuestos!$D$6)</f>
        <v>Cifras en: Millones de COP</v>
      </c>
    </row>
    <row r="4" customFormat="false" ht="15" hidden="false" customHeight="false" outlineLevel="0" collapsed="false">
      <c r="C4" s="2" t="s">
        <v>123</v>
      </c>
      <c r="D4" s="2" t="s">
        <v>124</v>
      </c>
      <c r="E4" s="20" t="s">
        <v>125</v>
      </c>
      <c r="F4" s="20" t="s">
        <v>126</v>
      </c>
      <c r="G4" s="20" t="s">
        <v>127</v>
      </c>
      <c r="H4" s="20" t="s">
        <v>128</v>
      </c>
      <c r="I4" s="20" t="s">
        <v>129</v>
      </c>
      <c r="J4" s="20" t="s">
        <v>130</v>
      </c>
      <c r="K4" s="20" t="s">
        <v>131</v>
      </c>
    </row>
    <row r="5" customFormat="false" ht="15" hidden="false" customHeight="false" outlineLevel="0" collapsed="false">
      <c r="B5" s="5" t="s">
        <v>203</v>
      </c>
      <c r="C5" s="3" t="s">
        <v>37</v>
      </c>
      <c r="E5" s="22" t="n">
        <f aca="false">Ingresos!E21</f>
        <v>40000</v>
      </c>
      <c r="F5" s="22" t="n">
        <f aca="false">Ingresos!F21</f>
        <v>43680</v>
      </c>
      <c r="G5" s="22" t="n">
        <f aca="false">Ingresos!G21</f>
        <v>47698.56</v>
      </c>
      <c r="H5" s="22" t="n">
        <f aca="false">Ingresos!H21</f>
        <v>52086.82752</v>
      </c>
      <c r="I5" s="22" t="n">
        <f aca="false">Ingresos!I21</f>
        <v>56878.81565184</v>
      </c>
      <c r="J5" s="22" t="n">
        <f aca="false">Ingresos!J21</f>
        <v>62111.6666918093</v>
      </c>
      <c r="K5" s="22" t="n">
        <f aca="false">Ingresos!K21</f>
        <v>63975.0166925636</v>
      </c>
    </row>
    <row r="6" customFormat="false" ht="15" hidden="false" customHeight="false" outlineLevel="0" collapsed="false">
      <c r="B6" s="5" t="s">
        <v>204</v>
      </c>
      <c r="C6" s="3" t="s">
        <v>37</v>
      </c>
      <c r="E6" s="22" t="n">
        <f aca="false">Ingresos!E22</f>
        <v>-35200</v>
      </c>
      <c r="F6" s="22" t="n">
        <f aca="false">Ingresos!F22</f>
        <v>-38438.4</v>
      </c>
      <c r="G6" s="22" t="n">
        <f aca="false">Ingresos!G22</f>
        <v>-41974.7328</v>
      </c>
      <c r="H6" s="22" t="n">
        <f aca="false">Ingresos!H22</f>
        <v>-45836.4082176</v>
      </c>
      <c r="I6" s="22" t="n">
        <f aca="false">Ingresos!I22</f>
        <v>-50053.3577736192</v>
      </c>
      <c r="J6" s="22" t="n">
        <f aca="false">Ingresos!J22</f>
        <v>-54658.2666887922</v>
      </c>
      <c r="K6" s="22" t="n">
        <f aca="false">Ingresos!K22</f>
        <v>-56298.014689456</v>
      </c>
    </row>
    <row r="7" customFormat="false" ht="15" hidden="false" customHeight="false" outlineLevel="0" collapsed="false">
      <c r="B7" s="8" t="s">
        <v>149</v>
      </c>
      <c r="C7" s="3" t="s">
        <v>37</v>
      </c>
      <c r="E7" s="7" t="n">
        <f aca="false">E5+E6</f>
        <v>4800</v>
      </c>
      <c r="F7" s="7" t="n">
        <f aca="false">F5+F6</f>
        <v>5241.6</v>
      </c>
      <c r="G7" s="7" t="n">
        <f aca="false">G5+G6</f>
        <v>5723.8272</v>
      </c>
      <c r="H7" s="7" t="n">
        <f aca="false">H5+H6</f>
        <v>6250.4193024</v>
      </c>
      <c r="I7" s="7" t="n">
        <f aca="false">I5+I6</f>
        <v>6825.45787822081</v>
      </c>
      <c r="J7" s="7" t="n">
        <f aca="false">J5+J6</f>
        <v>7453.40000301712</v>
      </c>
      <c r="K7" s="7" t="n">
        <f aca="false">K5+K6</f>
        <v>7677.00200310763</v>
      </c>
    </row>
    <row r="8" customFormat="false" ht="15" hidden="false" customHeight="false" outlineLevel="0" collapsed="false">
      <c r="B8" s="5" t="s">
        <v>152</v>
      </c>
      <c r="C8" s="3" t="s">
        <v>37</v>
      </c>
      <c r="E8" s="22" t="n">
        <f aca="false">Gastos!E5</f>
        <v>-1150</v>
      </c>
      <c r="F8" s="22" t="n">
        <f aca="false">Gastos!F5</f>
        <v>-1219</v>
      </c>
      <c r="G8" s="22" t="n">
        <f aca="false">Gastos!G5</f>
        <v>-1292.14</v>
      </c>
      <c r="H8" s="22" t="n">
        <f aca="false">Gastos!H5</f>
        <v>-1369.6684</v>
      </c>
      <c r="I8" s="22" t="n">
        <f aca="false">Gastos!I5</f>
        <v>-1451.848504</v>
      </c>
      <c r="J8" s="22" t="n">
        <f aca="false">Gastos!J5</f>
        <v>-1538.95941424</v>
      </c>
      <c r="K8" s="22" t="n">
        <f aca="false">Gastos!K5</f>
        <v>-1585.1281966672</v>
      </c>
    </row>
    <row r="9" customFormat="false" ht="15" hidden="false" customHeight="false" outlineLevel="0" collapsed="false">
      <c r="B9" s="5" t="s">
        <v>205</v>
      </c>
      <c r="C9" s="3" t="s">
        <v>37</v>
      </c>
      <c r="E9" s="22" t="n">
        <f aca="false">Gastos!E6</f>
        <v>-1200</v>
      </c>
      <c r="F9" s="22" t="n">
        <f aca="false">Gastos!F6</f>
        <v>-1310.4</v>
      </c>
      <c r="G9" s="22" t="n">
        <f aca="false">Gastos!G6</f>
        <v>-1430.9568</v>
      </c>
      <c r="H9" s="22" t="n">
        <f aca="false">Gastos!H6</f>
        <v>-1562.6048256</v>
      </c>
      <c r="I9" s="22" t="n">
        <f aca="false">Gastos!I6</f>
        <v>-1706.3644695552</v>
      </c>
      <c r="J9" s="22" t="n">
        <f aca="false">Gastos!J6</f>
        <v>-1863.35000075428</v>
      </c>
      <c r="K9" s="22" t="n">
        <f aca="false">Gastos!K6</f>
        <v>-1919.25050077691</v>
      </c>
    </row>
    <row r="10" customFormat="false" ht="15" hidden="false" customHeight="false" outlineLevel="0" collapsed="false">
      <c r="B10" s="8" t="s">
        <v>206</v>
      </c>
      <c r="C10" s="3" t="s">
        <v>37</v>
      </c>
      <c r="E10" s="7" t="n">
        <f aca="false">E7+E8+E9</f>
        <v>2450</v>
      </c>
      <c r="F10" s="7" t="n">
        <f aca="false">F7+F8+F9</f>
        <v>2712.2</v>
      </c>
      <c r="G10" s="7" t="n">
        <f aca="false">G7+G8+G9</f>
        <v>3000.7304</v>
      </c>
      <c r="H10" s="7" t="n">
        <f aca="false">H7+H8+H9</f>
        <v>3318.1460768</v>
      </c>
      <c r="I10" s="7" t="n">
        <f aca="false">I7+I8+I9</f>
        <v>3667.2449046656</v>
      </c>
      <c r="J10" s="7" t="n">
        <f aca="false">J7+J8+J9</f>
        <v>4051.09058802284</v>
      </c>
      <c r="K10" s="7" t="n">
        <f aca="false">K7+K8+K9</f>
        <v>4172.62330566352</v>
      </c>
    </row>
    <row r="11" customFormat="false" ht="15" hidden="false" customHeight="false" outlineLevel="0" collapsed="false">
      <c r="B11" s="5" t="s">
        <v>207</v>
      </c>
      <c r="C11" s="3" t="s">
        <v>37</v>
      </c>
      <c r="E11" s="22" t="n">
        <f aca="false">-CAPEX!E17</f>
        <v>-0</v>
      </c>
      <c r="F11" s="22" t="n">
        <f aca="false">-CAPEX!F17</f>
        <v>-340</v>
      </c>
      <c r="G11" s="22" t="n">
        <f aca="false">-CAPEX!G17</f>
        <v>-380</v>
      </c>
      <c r="H11" s="22" t="n">
        <f aca="false">-CAPEX!H17</f>
        <v>-420</v>
      </c>
      <c r="I11" s="22" t="n">
        <f aca="false">-CAPEX!I17</f>
        <v>-460</v>
      </c>
      <c r="J11" s="22" t="n">
        <f aca="false">-CAPEX!J17</f>
        <v>-500</v>
      </c>
      <c r="K11" s="22" t="n">
        <f aca="false">-CAPEX!K17</f>
        <v>-565.222222222222</v>
      </c>
    </row>
    <row r="12" customFormat="false" ht="15" hidden="false" customHeight="false" outlineLevel="0" collapsed="false">
      <c r="B12" s="8" t="s">
        <v>208</v>
      </c>
      <c r="C12" s="3" t="s">
        <v>37</v>
      </c>
      <c r="E12" s="7" t="n">
        <f aca="false">E10+E11</f>
        <v>2450</v>
      </c>
      <c r="F12" s="7" t="n">
        <f aca="false">F10+F11</f>
        <v>2372.2</v>
      </c>
      <c r="G12" s="7" t="n">
        <f aca="false">G10+G11</f>
        <v>2620.7304</v>
      </c>
      <c r="H12" s="7" t="n">
        <f aca="false">H10+H11</f>
        <v>2898.1460768</v>
      </c>
      <c r="I12" s="7" t="n">
        <f aca="false">I10+I11</f>
        <v>3207.2449046656</v>
      </c>
      <c r="J12" s="7" t="n">
        <f aca="false">J10+J11</f>
        <v>3551.09058802284</v>
      </c>
      <c r="K12" s="7" t="n">
        <f aca="false">K10+K11</f>
        <v>3607.4010834413</v>
      </c>
    </row>
    <row r="13" customFormat="false" ht="15" hidden="false" customHeight="false" outlineLevel="0" collapsed="false">
      <c r="B13" s="5" t="s">
        <v>209</v>
      </c>
      <c r="C13" s="3" t="s">
        <v>37</v>
      </c>
      <c r="E13" s="7" t="n">
        <f aca="false">-(Supuestos!$D$51*Supuestos!$G$42+Supuestos!$D$55*Supuestos!$D$58+Supuestos!$D$59*Supuestos!$D$62)</f>
        <v>-280</v>
      </c>
      <c r="F13" s="7" t="n">
        <f aca="false">-(Deuda!F21+E44*Supuestos!$G$42)</f>
        <v>-280</v>
      </c>
      <c r="G13" s="7" t="n">
        <f aca="false">-(Deuda!G21+F44*Supuestos!$G$42)</f>
        <v>-224</v>
      </c>
      <c r="H13" s="7" t="n">
        <f aca="false">-(Deuda!H21+G44*Supuestos!$G$42)</f>
        <v>-168</v>
      </c>
      <c r="I13" s="7" t="n">
        <f aca="false">-(Deuda!I21+H44*Supuestos!$G$42)</f>
        <v>-112</v>
      </c>
      <c r="J13" s="7" t="n">
        <f aca="false">-(Deuda!J21+I44*Supuestos!$G$42)</f>
        <v>-56</v>
      </c>
      <c r="K13" s="7" t="n">
        <f aca="false">-(Deuda!K21+J44*Supuestos!$G$42)</f>
        <v>-0</v>
      </c>
    </row>
    <row r="14" customFormat="false" ht="15" hidden="false" customHeight="false" outlineLevel="0" collapsed="false">
      <c r="B14" s="8" t="s">
        <v>210</v>
      </c>
      <c r="C14" s="3" t="s">
        <v>37</v>
      </c>
      <c r="E14" s="7" t="n">
        <f aca="false">E12+E13</f>
        <v>2170</v>
      </c>
      <c r="F14" s="7" t="n">
        <f aca="false">F12+F13</f>
        <v>2092.2</v>
      </c>
      <c r="G14" s="7" t="n">
        <f aca="false">G12+G13</f>
        <v>2396.7304</v>
      </c>
      <c r="H14" s="7" t="n">
        <f aca="false">H12+H13</f>
        <v>2730.1460768</v>
      </c>
      <c r="I14" s="7" t="n">
        <f aca="false">I12+I13</f>
        <v>3095.2449046656</v>
      </c>
      <c r="J14" s="7" t="n">
        <f aca="false">J12+J13</f>
        <v>3495.09058802284</v>
      </c>
      <c r="K14" s="7" t="n">
        <f aca="false">K12+K13</f>
        <v>3607.4010834413</v>
      </c>
    </row>
    <row r="15" customFormat="false" ht="15" hidden="false" customHeight="false" outlineLevel="0" collapsed="false">
      <c r="B15" s="5" t="s">
        <v>211</v>
      </c>
      <c r="C15" s="3" t="s">
        <v>37</v>
      </c>
      <c r="E15" s="7" t="n">
        <f aca="false">-MAX(E14,0)*Supuestos!$D$63</f>
        <v>-759.5</v>
      </c>
      <c r="F15" s="7" t="n">
        <f aca="false">-MAX(F14,0)*Supuestos!$D$63</f>
        <v>-732.27</v>
      </c>
      <c r="G15" s="7" t="n">
        <f aca="false">-MAX(G14,0)*Supuestos!$D$63</f>
        <v>-838.85564</v>
      </c>
      <c r="H15" s="7" t="n">
        <f aca="false">-MAX(H14,0)*Supuestos!$D$63</f>
        <v>-955.551126879999</v>
      </c>
      <c r="I15" s="7" t="n">
        <f aca="false">-MAX(I14,0)*Supuestos!$D$63</f>
        <v>-1083.33571663296</v>
      </c>
      <c r="J15" s="7" t="n">
        <f aca="false">-MAX(J14,0)*Supuestos!$D$63</f>
        <v>-1223.28170580799</v>
      </c>
      <c r="K15" s="7" t="n">
        <f aca="false">-MAX(K14,0)*Supuestos!$D$63</f>
        <v>-1262.59037920445</v>
      </c>
    </row>
    <row r="16" customFormat="false" ht="15" hidden="false" customHeight="false" outlineLevel="0" collapsed="false">
      <c r="B16" s="8" t="s">
        <v>212</v>
      </c>
      <c r="C16" s="3" t="s">
        <v>37</v>
      </c>
      <c r="E16" s="7" t="n">
        <f aca="false">E14+E15</f>
        <v>1410.5</v>
      </c>
      <c r="F16" s="7" t="n">
        <f aca="false">F14+F15</f>
        <v>1359.93</v>
      </c>
      <c r="G16" s="7" t="n">
        <f aca="false">G14+G15</f>
        <v>1557.87476</v>
      </c>
      <c r="H16" s="7" t="n">
        <f aca="false">H14+H15</f>
        <v>1774.59494992</v>
      </c>
      <c r="I16" s="7" t="n">
        <f aca="false">I14+I15</f>
        <v>2011.90918803264</v>
      </c>
      <c r="J16" s="7" t="n">
        <f aca="false">J14+J15</f>
        <v>2271.80888221484</v>
      </c>
      <c r="K16" s="7" t="n">
        <f aca="false">K14+K15</f>
        <v>2344.81070423684</v>
      </c>
    </row>
    <row r="18" customFormat="false" ht="15" hidden="false" customHeight="false" outlineLevel="0" collapsed="false">
      <c r="B18" s="8" t="s">
        <v>213</v>
      </c>
    </row>
    <row r="19" customFormat="false" ht="15" hidden="false" customHeight="false" outlineLevel="0" collapsed="false">
      <c r="B19" s="5" t="s">
        <v>214</v>
      </c>
      <c r="C19" s="3" t="s">
        <v>37</v>
      </c>
      <c r="F19" s="7" t="n">
        <f aca="false">F12*(1-Supuestos!$D$63)</f>
        <v>1541.93</v>
      </c>
      <c r="G19" s="7" t="n">
        <f aca="false">G12*(1-Supuestos!$D$63)</f>
        <v>1703.47476</v>
      </c>
      <c r="H19" s="7" t="n">
        <f aca="false">H12*(1-Supuestos!$D$63)</f>
        <v>1883.79494992</v>
      </c>
      <c r="I19" s="7" t="n">
        <f aca="false">I12*(1-Supuestos!$D$63)</f>
        <v>2084.70918803264</v>
      </c>
      <c r="J19" s="7" t="n">
        <f aca="false">J12*(1-Supuestos!$D$63)</f>
        <v>2308.20888221484</v>
      </c>
      <c r="K19" s="7" t="n">
        <f aca="false">K12*(1-Supuestos!$D$63)</f>
        <v>2344.81070423684</v>
      </c>
    </row>
    <row r="20" customFormat="false" ht="15" hidden="false" customHeight="false" outlineLevel="0" collapsed="false">
      <c r="B20" s="5" t="s">
        <v>215</v>
      </c>
      <c r="C20" s="3" t="s">
        <v>37</v>
      </c>
      <c r="F20" s="7" t="n">
        <f aca="false">-F11</f>
        <v>340</v>
      </c>
      <c r="G20" s="7" t="n">
        <f aca="false">-G11</f>
        <v>380</v>
      </c>
      <c r="H20" s="7" t="n">
        <f aca="false">-H11</f>
        <v>420</v>
      </c>
      <c r="I20" s="7" t="n">
        <f aca="false">-I11</f>
        <v>460</v>
      </c>
      <c r="J20" s="7" t="n">
        <f aca="false">-J11</f>
        <v>500</v>
      </c>
      <c r="K20" s="7" t="n">
        <f aca="false">-K11</f>
        <v>565.222222222222</v>
      </c>
    </row>
    <row r="21" customFormat="false" ht="15" hidden="false" customHeight="false" outlineLevel="0" collapsed="false">
      <c r="B21" s="5" t="s">
        <v>216</v>
      </c>
      <c r="C21" s="3" t="s">
        <v>37</v>
      </c>
      <c r="F21" s="22" t="n">
        <f aca="false">-KTNO!F10</f>
        <v>-195.484030775003</v>
      </c>
      <c r="G21" s="22" t="n">
        <f aca="false">-KTNO!G10</f>
        <v>-237.776311653219</v>
      </c>
      <c r="H21" s="22" t="n">
        <f aca="false">-KTNO!H10</f>
        <v>-259.651732325314</v>
      </c>
      <c r="I21" s="22" t="n">
        <f aca="false">-KTNO!I10</f>
        <v>-283.539691699245</v>
      </c>
      <c r="J21" s="22" t="n">
        <f aca="false">-KTNO!J10</f>
        <v>-309.625343335573</v>
      </c>
      <c r="K21" s="22" t="n">
        <f aca="false">-KTNO!K10</f>
        <v>-133.547283696837</v>
      </c>
    </row>
    <row r="22" customFormat="false" ht="15" hidden="false" customHeight="false" outlineLevel="0" collapsed="false">
      <c r="B22" s="5" t="s">
        <v>217</v>
      </c>
      <c r="C22" s="3" t="s">
        <v>37</v>
      </c>
      <c r="F22" s="22" t="n">
        <f aca="false">-CAPEX!F7</f>
        <v>-400</v>
      </c>
      <c r="G22" s="22" t="n">
        <f aca="false">-CAPEX!G7</f>
        <v>-400</v>
      </c>
      <c r="H22" s="22" t="n">
        <f aca="false">-CAPEX!H7</f>
        <v>-400</v>
      </c>
      <c r="I22" s="22" t="n">
        <f aca="false">-CAPEX!I7</f>
        <v>-400</v>
      </c>
      <c r="J22" s="22" t="n">
        <f aca="false">-CAPEX!J7</f>
        <v>-400</v>
      </c>
      <c r="K22" s="22" t="n">
        <f aca="false">-CAPEX!K7</f>
        <v>-652.222222222222</v>
      </c>
    </row>
    <row r="23" customFormat="false" ht="15" hidden="false" customHeight="false" outlineLevel="0" collapsed="false">
      <c r="B23" s="8" t="s">
        <v>218</v>
      </c>
      <c r="C23" s="3" t="s">
        <v>37</v>
      </c>
      <c r="F23" s="7" t="n">
        <f aca="false">F19+F20+F21+F22</f>
        <v>1286.445969225</v>
      </c>
      <c r="G23" s="7" t="n">
        <f aca="false">G19+G20+G21+G22</f>
        <v>1445.69844834678</v>
      </c>
      <c r="H23" s="7" t="n">
        <f aca="false">H19+H20+H21+H22</f>
        <v>1644.14321759468</v>
      </c>
      <c r="I23" s="7" t="n">
        <f aca="false">I19+I20+I21+I22</f>
        <v>1861.1694963334</v>
      </c>
      <c r="J23" s="7" t="n">
        <f aca="false">J19+J20+J21+J22</f>
        <v>2098.58353887927</v>
      </c>
      <c r="K23" s="7" t="n">
        <f aca="false">K19+K20+K21+K22</f>
        <v>2124.26342054001</v>
      </c>
    </row>
    <row r="24" customFormat="false" ht="15" hidden="false" customHeight="false" outlineLevel="0" collapsed="false">
      <c r="B24" s="5" t="s">
        <v>219</v>
      </c>
      <c r="C24" s="3" t="s">
        <v>37</v>
      </c>
      <c r="F24" s="7" t="n">
        <f aca="false">F13+Supuestos!$D$63*(F12-MAX(F14,0))</f>
        <v>-182</v>
      </c>
      <c r="G24" s="7" t="n">
        <f aca="false">G13+Supuestos!$D$63*(G12-MAX(G14,0))</f>
        <v>-145.6</v>
      </c>
      <c r="H24" s="7" t="n">
        <f aca="false">H13+Supuestos!$D$63*(H12-MAX(H14,0))</f>
        <v>-109.2</v>
      </c>
      <c r="I24" s="7" t="n">
        <f aca="false">I13+Supuestos!$D$63*(I12-MAX(I14,0))</f>
        <v>-72.8</v>
      </c>
      <c r="J24" s="7" t="n">
        <f aca="false">J13+Supuestos!$D$63*(J12-MAX(J14,0))</f>
        <v>-36.4</v>
      </c>
      <c r="K24" s="7" t="n">
        <f aca="false">K13+Supuestos!$D$63*(K12-MAX(K14,0))</f>
        <v>0</v>
      </c>
    </row>
    <row r="25" customFormat="false" ht="15" hidden="false" customHeight="false" outlineLevel="0" collapsed="false">
      <c r="B25" s="5" t="s">
        <v>220</v>
      </c>
      <c r="C25" s="3" t="s">
        <v>37</v>
      </c>
      <c r="F25" s="22" t="n">
        <f aca="false">Deuda!F20</f>
        <v>-400</v>
      </c>
      <c r="G25" s="22" t="n">
        <f aca="false">Deuda!G20</f>
        <v>-400</v>
      </c>
      <c r="H25" s="22" t="n">
        <f aca="false">Deuda!H20</f>
        <v>-400</v>
      </c>
      <c r="I25" s="22" t="n">
        <f aca="false">Deuda!I20</f>
        <v>-400</v>
      </c>
      <c r="J25" s="22" t="n">
        <f aca="false">Deuda!J20</f>
        <v>-400</v>
      </c>
      <c r="K25" s="22" t="n">
        <f aca="false">Deuda!K20</f>
        <v>-0</v>
      </c>
    </row>
    <row r="26" customFormat="false" ht="15" hidden="false" customHeight="false" outlineLevel="0" collapsed="false">
      <c r="B26" s="5" t="s">
        <v>221</v>
      </c>
      <c r="C26" s="3" t="s">
        <v>37</v>
      </c>
      <c r="F26" s="7" t="n">
        <f aca="false">(F46-E46)</f>
        <v>-27.2300000000005</v>
      </c>
      <c r="G26" s="7" t="n">
        <f aca="false">(G46-F46)</f>
        <v>106.58564</v>
      </c>
      <c r="H26" s="7" t="n">
        <f aca="false">(H46-G46)</f>
        <v>116.695486879999</v>
      </c>
      <c r="I26" s="7" t="n">
        <f aca="false">(I46-H46)</f>
        <v>127.784589752962</v>
      </c>
      <c r="J26" s="7" t="n">
        <f aca="false">(J46-I46)</f>
        <v>139.945989175031</v>
      </c>
      <c r="K26" s="7" t="n">
        <f aca="false">(K46-J46)</f>
        <v>39.3086733964612</v>
      </c>
    </row>
    <row r="27" customFormat="false" ht="15" hidden="false" customHeight="false" outlineLevel="0" collapsed="false">
      <c r="B27" s="8" t="s">
        <v>222</v>
      </c>
      <c r="C27" s="3" t="s">
        <v>37</v>
      </c>
      <c r="F27" s="7" t="n">
        <f aca="false">E33+F23+F24+F25+F26</f>
        <v>1877.215969225</v>
      </c>
      <c r="G27" s="7" t="n">
        <f aca="false">F33+G23+G24+G25+G26</f>
        <v>2460.75005757178</v>
      </c>
      <c r="H27" s="7" t="n">
        <f aca="false">G33+H23+H24+H25+H26</f>
        <v>3304.40976204646</v>
      </c>
      <c r="I27" s="7" t="n">
        <f aca="false">H33+I23+I24+I25+I26</f>
        <v>4353.20142013282</v>
      </c>
      <c r="J27" s="7" t="n">
        <f aca="false">I33+J23+J24+J25+J26</f>
        <v>5622.95246321112</v>
      </c>
      <c r="K27" s="7" t="n">
        <f aca="false">J33+K23+K24+K25+K26</f>
        <v>7182.9518007378</v>
      </c>
    </row>
    <row r="28" customFormat="false" ht="15" hidden="false" customHeight="false" outlineLevel="0" collapsed="false">
      <c r="B28" s="5" t="s">
        <v>223</v>
      </c>
      <c r="C28" s="3" t="s">
        <v>37</v>
      </c>
      <c r="F28" s="7" t="n">
        <f aca="false">MAX(0,(F5*Supuestos!$D$67)-F27)</f>
        <v>0</v>
      </c>
      <c r="G28" s="7" t="n">
        <f aca="false">MAX(0,(G5*Supuestos!$D$67)-G27)</f>
        <v>0</v>
      </c>
      <c r="H28" s="7" t="n">
        <f aca="false">MAX(0,(H5*Supuestos!$D$67)-H27)</f>
        <v>0</v>
      </c>
      <c r="I28" s="7" t="n">
        <f aca="false">MAX(0,(I5*Supuestos!$D$67)-I27)</f>
        <v>0</v>
      </c>
      <c r="J28" s="7" t="n">
        <f aca="false">MAX(0,(J5*Supuestos!$D$67)-J27)</f>
        <v>0</v>
      </c>
      <c r="K28" s="7" t="n">
        <f aca="false">MAX(0,(K5*Supuestos!$D$67)-K27)</f>
        <v>0</v>
      </c>
    </row>
    <row r="29" customFormat="false" ht="15" hidden="false" customHeight="false" outlineLevel="0" collapsed="false">
      <c r="B29" s="5" t="s">
        <v>224</v>
      </c>
      <c r="C29" s="3" t="s">
        <v>37</v>
      </c>
      <c r="F29" s="7" t="n">
        <f aca="false">-MIN(E44,MAX(0,F27-(F5*Supuestos!$D$67)))</f>
        <v>-0</v>
      </c>
      <c r="G29" s="7" t="n">
        <f aca="false">-MIN(F44,MAX(0,G27-(G5*Supuestos!$D$67)))</f>
        <v>-0</v>
      </c>
      <c r="H29" s="7" t="n">
        <f aca="false">-MIN(G44,MAX(0,H27-(H5*Supuestos!$D$67)))</f>
        <v>-0</v>
      </c>
      <c r="I29" s="7" t="n">
        <f aca="false">-MIN(H44,MAX(0,I27-(I5*Supuestos!$D$67)))</f>
        <v>-0</v>
      </c>
      <c r="J29" s="7" t="n">
        <f aca="false">-MIN(I44,MAX(0,J27-(J5*Supuestos!$D$67)))</f>
        <v>-0</v>
      </c>
      <c r="K29" s="7" t="n">
        <f aca="false">-MIN(J44,MAX(0,K27-(K5*Supuestos!$D$67)))</f>
        <v>-0</v>
      </c>
    </row>
    <row r="30" customFormat="false" ht="15" hidden="false" customHeight="false" outlineLevel="0" collapsed="false">
      <c r="B30" s="5" t="s">
        <v>225</v>
      </c>
      <c r="C30" s="3" t="s">
        <v>37</v>
      </c>
      <c r="F30" s="7" t="n">
        <f aca="false">-IF(F44&gt;0,0,MIN(Supuestos!$D$65*MAX(E16,0),MAX(0,(F27+F28+F29)-(F5*Supuestos!$D$67))))</f>
        <v>-423.15</v>
      </c>
      <c r="G30" s="7" t="n">
        <f aca="false">-IF(G44&gt;0,0,MIN(Supuestos!$D$65*MAX(F16,0),MAX(0,(G27+G28+G29)-(G5*Supuestos!$D$67))))</f>
        <v>-407.979</v>
      </c>
      <c r="H30" s="7" t="n">
        <f aca="false">-IF(H44&gt;0,0,MIN(Supuestos!$D$65*MAX(G16,0),MAX(0,(H27+H28+H29)-(H5*Supuestos!$D$67))))</f>
        <v>-467.362428</v>
      </c>
      <c r="I30" s="7" t="n">
        <f aca="false">-IF(I44&gt;0,0,MIN(Supuestos!$D$65*MAX(H16,0),MAX(0,(I27+I28+I29)-(I5*Supuestos!$D$67))))</f>
        <v>-532.378484975999</v>
      </c>
      <c r="J30" s="7" t="n">
        <f aca="false">-IF(J44&gt;0,0,MIN(Supuestos!$D$65*MAX(I16,0),MAX(0,(J27+J28+J29)-(J5*Supuestos!$D$67))))</f>
        <v>-603.572756409793</v>
      </c>
      <c r="K30" s="7" t="n">
        <f aca="false">-IF(K44&gt;0,0,MIN(Supuestos!$D$65*MAX(J16,0),MAX(0,(K27+K28+K29)-(K5*Supuestos!$D$67))))</f>
        <v>-681.542664664453</v>
      </c>
    </row>
    <row r="31" customFormat="false" ht="15" hidden="false" customHeight="false" outlineLevel="0" collapsed="false">
      <c r="B31" s="8" t="s">
        <v>226</v>
      </c>
      <c r="C31" s="3" t="s">
        <v>37</v>
      </c>
      <c r="F31" s="7" t="n">
        <f aca="false">F23+F24+F25+F26+F28+F29+F30</f>
        <v>254.065969224996</v>
      </c>
      <c r="G31" s="7" t="n">
        <f aca="false">G23+G24+G25+G26+G28+G29+G30</f>
        <v>598.705088346781</v>
      </c>
      <c r="H31" s="7" t="n">
        <f aca="false">H23+H24+H25+H26+H28+H29+H30</f>
        <v>784.276276474684</v>
      </c>
      <c r="I31" s="7" t="n">
        <f aca="false">I23+I24+I25+I26+I28+I29+I30</f>
        <v>983.775601110361</v>
      </c>
      <c r="J31" s="7" t="n">
        <f aca="false">J23+J24+J25+J26+J28+J29+J30</f>
        <v>1198.55677164451</v>
      </c>
      <c r="K31" s="7" t="n">
        <f aca="false">K23+K24+K25+K26+K28+K29+K30</f>
        <v>1482.02942927202</v>
      </c>
    </row>
    <row r="32" customFormat="false" ht="15" hidden="false" customHeight="false" outlineLevel="0" collapsed="false">
      <c r="B32" s="5" t="s">
        <v>227</v>
      </c>
      <c r="C32" s="3" t="s">
        <v>37</v>
      </c>
      <c r="F32" s="7" t="n">
        <f aca="false">E33</f>
        <v>1200</v>
      </c>
      <c r="G32" s="7" t="n">
        <f aca="false">F33</f>
        <v>1454.065969225</v>
      </c>
      <c r="H32" s="7" t="n">
        <f aca="false">G33</f>
        <v>2052.77105757178</v>
      </c>
      <c r="I32" s="7" t="n">
        <f aca="false">H33</f>
        <v>2837.04733404646</v>
      </c>
      <c r="J32" s="7" t="n">
        <f aca="false">I33</f>
        <v>3820.82293515682</v>
      </c>
      <c r="K32" s="7" t="n">
        <f aca="false">J33</f>
        <v>5019.37970680133</v>
      </c>
    </row>
    <row r="33" customFormat="false" ht="15" hidden="false" customHeight="false" outlineLevel="0" collapsed="false">
      <c r="B33" s="8" t="s">
        <v>228</v>
      </c>
      <c r="C33" s="3" t="s">
        <v>37</v>
      </c>
      <c r="E33" s="7" t="n">
        <f aca="false">E5*Supuestos!$D$67</f>
        <v>1200</v>
      </c>
      <c r="F33" s="7" t="n">
        <f aca="false">F32+F31</f>
        <v>1454.065969225</v>
      </c>
      <c r="G33" s="7" t="n">
        <f aca="false">G32+G31</f>
        <v>2052.77105757178</v>
      </c>
      <c r="H33" s="7" t="n">
        <f aca="false">H32+H31</f>
        <v>2837.04733404646</v>
      </c>
      <c r="I33" s="7" t="n">
        <f aca="false">I32+I31</f>
        <v>3820.82293515682</v>
      </c>
      <c r="J33" s="7" t="n">
        <f aca="false">J32+J31</f>
        <v>5019.37970680133</v>
      </c>
      <c r="K33" s="7" t="n">
        <f aca="false">K32+K31</f>
        <v>6501.40913607335</v>
      </c>
    </row>
    <row r="35" customFormat="false" ht="15" hidden="false" customHeight="false" outlineLevel="0" collapsed="false">
      <c r="B35" s="8" t="s">
        <v>229</v>
      </c>
    </row>
    <row r="36" customFormat="false" ht="15" hidden="false" customHeight="false" outlineLevel="0" collapsed="false">
      <c r="B36" s="5" t="s">
        <v>230</v>
      </c>
      <c r="C36" s="3" t="s">
        <v>37</v>
      </c>
      <c r="E36" s="7" t="n">
        <f aca="false">E33</f>
        <v>1200</v>
      </c>
      <c r="F36" s="7" t="n">
        <f aca="false">F33</f>
        <v>1454.065969225</v>
      </c>
      <c r="G36" s="7" t="n">
        <f aca="false">G33</f>
        <v>2052.77105757178</v>
      </c>
      <c r="H36" s="7" t="n">
        <f aca="false">H33</f>
        <v>2837.04733404646</v>
      </c>
      <c r="I36" s="7" t="n">
        <f aca="false">I33</f>
        <v>3820.82293515682</v>
      </c>
      <c r="J36" s="7" t="n">
        <f aca="false">J33</f>
        <v>5019.37970680133</v>
      </c>
      <c r="K36" s="7" t="n">
        <f aca="false">K33</f>
        <v>6501.40913607335</v>
      </c>
    </row>
    <row r="37" customFormat="false" ht="15" hidden="false" customHeight="false" outlineLevel="0" collapsed="false">
      <c r="B37" s="5" t="s">
        <v>231</v>
      </c>
      <c r="C37" s="3" t="s">
        <v>37</v>
      </c>
      <c r="D37" s="3" t="s">
        <v>175</v>
      </c>
      <c r="E37" s="22" t="n">
        <f aca="false">KTNO!E5</f>
        <v>3835.61643835616</v>
      </c>
      <c r="F37" s="22" t="n">
        <f aca="false">KTNO!F5</f>
        <v>4188.49315068493</v>
      </c>
      <c r="G37" s="22" t="n">
        <f aca="false">KTNO!G5</f>
        <v>4573.83452054795</v>
      </c>
      <c r="H37" s="22" t="n">
        <f aca="false">KTNO!H5</f>
        <v>4994.62729643836</v>
      </c>
      <c r="I37" s="22" t="n">
        <f aca="false">KTNO!I5</f>
        <v>5454.13300771069</v>
      </c>
      <c r="J37" s="22" t="n">
        <f aca="false">KTNO!J5</f>
        <v>5955.91324442007</v>
      </c>
      <c r="K37" s="22" t="n">
        <f aca="false">KTNO!K5</f>
        <v>6134.59064175267</v>
      </c>
    </row>
    <row r="38" customFormat="false" ht="15" hidden="false" customHeight="false" outlineLevel="0" collapsed="false">
      <c r="B38" s="5" t="s">
        <v>232</v>
      </c>
      <c r="C38" s="3" t="s">
        <v>37</v>
      </c>
      <c r="D38" s="3" t="s">
        <v>175</v>
      </c>
      <c r="E38" s="22" t="n">
        <f aca="false">KTNO!E6</f>
        <v>2410.95890410959</v>
      </c>
      <c r="F38" s="22" t="n">
        <f aca="false">KTNO!F6</f>
        <v>2632.76712328767</v>
      </c>
      <c r="G38" s="22" t="n">
        <f aca="false">KTNO!G6</f>
        <v>2874.98169863014</v>
      </c>
      <c r="H38" s="22" t="n">
        <f aca="false">KTNO!H6</f>
        <v>3139.48001490411</v>
      </c>
      <c r="I38" s="22" t="n">
        <f aca="false">KTNO!I6</f>
        <v>3428.31217627529</v>
      </c>
      <c r="J38" s="22" t="n">
        <f aca="false">KTNO!J6</f>
        <v>3743.71689649262</v>
      </c>
      <c r="K38" s="22" t="n">
        <f aca="false">KTNO!K6</f>
        <v>3856.02840338739</v>
      </c>
    </row>
    <row r="39" customFormat="false" ht="15" hidden="false" customHeight="false" outlineLevel="0" collapsed="false">
      <c r="B39" s="8" t="s">
        <v>233</v>
      </c>
      <c r="C39" s="3" t="s">
        <v>37</v>
      </c>
      <c r="E39" s="7" t="n">
        <f aca="false">E36+E37+E38</f>
        <v>7446.57534246575</v>
      </c>
      <c r="F39" s="7" t="n">
        <f aca="false">F36+F37+F38</f>
        <v>8275.3262431976</v>
      </c>
      <c r="G39" s="7" t="n">
        <f aca="false">G36+G37+G38</f>
        <v>9501.58727674986</v>
      </c>
      <c r="H39" s="7" t="n">
        <f aca="false">H36+H37+H38</f>
        <v>10971.1546453889</v>
      </c>
      <c r="I39" s="7" t="n">
        <f aca="false">I36+I37+I38</f>
        <v>12703.2681191428</v>
      </c>
      <c r="J39" s="7" t="n">
        <f aca="false">J36+J37+J38</f>
        <v>14719.009847714</v>
      </c>
      <c r="K39" s="7" t="n">
        <f aca="false">K36+K37+K38</f>
        <v>16492.0281812134</v>
      </c>
    </row>
    <row r="40" customFormat="false" ht="15" hidden="false" customHeight="false" outlineLevel="0" collapsed="false">
      <c r="B40" s="5" t="s">
        <v>234</v>
      </c>
      <c r="C40" s="3" t="s">
        <v>37</v>
      </c>
      <c r="D40" s="3" t="s">
        <v>159</v>
      </c>
      <c r="E40" s="22" t="n">
        <f aca="false">CAPEX!E21</f>
        <v>3000</v>
      </c>
      <c r="F40" s="22" t="n">
        <f aca="false">CAPEX!F21</f>
        <v>3060</v>
      </c>
      <c r="G40" s="22" t="n">
        <f aca="false">CAPEX!G21</f>
        <v>3080</v>
      </c>
      <c r="H40" s="22" t="n">
        <f aca="false">CAPEX!H21</f>
        <v>3060</v>
      </c>
      <c r="I40" s="22" t="n">
        <f aca="false">CAPEX!I21</f>
        <v>3000</v>
      </c>
      <c r="J40" s="22" t="n">
        <f aca="false">CAPEX!J21</f>
        <v>2900</v>
      </c>
      <c r="K40" s="22" t="n">
        <f aca="false">CAPEX!K21</f>
        <v>2987</v>
      </c>
    </row>
    <row r="41" customFormat="false" ht="15" hidden="false" customHeight="false" outlineLevel="0" collapsed="false">
      <c r="B41" s="8" t="s">
        <v>235</v>
      </c>
      <c r="C41" s="3" t="s">
        <v>37</v>
      </c>
      <c r="E41" s="7" t="n">
        <f aca="false">E39+E40</f>
        <v>10446.5753424658</v>
      </c>
      <c r="F41" s="7" t="n">
        <f aca="false">F39+F40</f>
        <v>11335.3262431976</v>
      </c>
      <c r="G41" s="7" t="n">
        <f aca="false">G39+G40</f>
        <v>12581.5872767499</v>
      </c>
      <c r="H41" s="7" t="n">
        <f aca="false">H39+H40</f>
        <v>14031.1546453889</v>
      </c>
      <c r="I41" s="7" t="n">
        <f aca="false">I39+I40</f>
        <v>15703.2681191428</v>
      </c>
      <c r="J41" s="7" t="n">
        <f aca="false">J39+J40</f>
        <v>17619.009847714</v>
      </c>
      <c r="K41" s="7" t="n">
        <f aca="false">K39+K40</f>
        <v>19479.0281812134</v>
      </c>
    </row>
    <row r="43" customFormat="false" ht="15" hidden="false" customHeight="false" outlineLevel="0" collapsed="false">
      <c r="B43" s="5" t="s">
        <v>236</v>
      </c>
      <c r="C43" s="3" t="s">
        <v>37</v>
      </c>
      <c r="D43" s="3" t="s">
        <v>184</v>
      </c>
      <c r="E43" s="22" t="n">
        <f aca="false">Deuda!E23</f>
        <v>2000</v>
      </c>
      <c r="F43" s="22" t="n">
        <f aca="false">Deuda!F22</f>
        <v>1600</v>
      </c>
      <c r="G43" s="22" t="n">
        <f aca="false">Deuda!G22</f>
        <v>1200</v>
      </c>
      <c r="H43" s="22" t="n">
        <f aca="false">Deuda!H22</f>
        <v>800</v>
      </c>
      <c r="I43" s="22" t="n">
        <f aca="false">Deuda!I22</f>
        <v>400</v>
      </c>
      <c r="J43" s="22" t="n">
        <f aca="false">Deuda!J22</f>
        <v>0</v>
      </c>
      <c r="K43" s="22" t="n">
        <f aca="false">Deuda!K22</f>
        <v>0</v>
      </c>
    </row>
    <row r="44" customFormat="false" ht="15" hidden="false" customHeight="false" outlineLevel="0" collapsed="false">
      <c r="B44" s="5" t="s">
        <v>237</v>
      </c>
      <c r="C44" s="3" t="s">
        <v>37</v>
      </c>
      <c r="D44" s="3" t="s">
        <v>184</v>
      </c>
      <c r="E44" s="7" t="n">
        <f aca="false">0</f>
        <v>0</v>
      </c>
      <c r="F44" s="7" t="n">
        <f aca="false">E44+F28+F29</f>
        <v>0</v>
      </c>
      <c r="G44" s="7" t="n">
        <f aca="false">F44+G28+G29</f>
        <v>0</v>
      </c>
      <c r="H44" s="7" t="n">
        <f aca="false">G44+H28+H29</f>
        <v>0</v>
      </c>
      <c r="I44" s="7" t="n">
        <f aca="false">H44+I28+I29</f>
        <v>0</v>
      </c>
      <c r="J44" s="7" t="n">
        <f aca="false">I44+J28+J29</f>
        <v>0</v>
      </c>
      <c r="K44" s="7" t="n">
        <f aca="false">J44+K28+K29</f>
        <v>0</v>
      </c>
    </row>
    <row r="45" customFormat="false" ht="15" hidden="false" customHeight="false" outlineLevel="0" collapsed="false">
      <c r="B45" s="5" t="s">
        <v>238</v>
      </c>
      <c r="C45" s="3" t="s">
        <v>37</v>
      </c>
      <c r="D45" s="3" t="s">
        <v>175</v>
      </c>
      <c r="E45" s="22" t="n">
        <f aca="false">KTNO!E8</f>
        <v>3857.53424657534</v>
      </c>
      <c r="F45" s="22" t="n">
        <f aca="false">KTNO!F8</f>
        <v>4236.73514730719</v>
      </c>
      <c r="G45" s="22" t="n">
        <f aca="false">KTNO!G8</f>
        <v>4626.51478085945</v>
      </c>
      <c r="H45" s="22" t="n">
        <f aca="false">KTNO!H8</f>
        <v>5052.15414069852</v>
      </c>
      <c r="I45" s="22" t="n">
        <f aca="false">KTNO!I8</f>
        <v>5516.95232164278</v>
      </c>
      <c r="J45" s="22" t="n">
        <f aca="false">KTNO!J8</f>
        <v>6024.51193523392</v>
      </c>
      <c r="K45" s="22" t="n">
        <f aca="false">KTNO!K8</f>
        <v>6181.95355576446</v>
      </c>
    </row>
    <row r="46" customFormat="false" ht="15" hidden="false" customHeight="false" outlineLevel="0" collapsed="false">
      <c r="B46" s="5" t="s">
        <v>239</v>
      </c>
      <c r="C46" s="3" t="s">
        <v>37</v>
      </c>
      <c r="E46" s="7" t="n">
        <f aca="false">-E15</f>
        <v>759.5</v>
      </c>
      <c r="F46" s="7" t="n">
        <f aca="false">-F15</f>
        <v>732.27</v>
      </c>
      <c r="G46" s="7" t="n">
        <f aca="false">-G15</f>
        <v>838.85564</v>
      </c>
      <c r="H46" s="7" t="n">
        <f aca="false">-H15</f>
        <v>955.551126879999</v>
      </c>
      <c r="I46" s="7" t="n">
        <f aca="false">-I15</f>
        <v>1083.33571663296</v>
      </c>
      <c r="J46" s="7" t="n">
        <f aca="false">-J15</f>
        <v>1223.28170580799</v>
      </c>
      <c r="K46" s="7" t="n">
        <f aca="false">-K15</f>
        <v>1262.59037920445</v>
      </c>
    </row>
    <row r="47" customFormat="false" ht="15" hidden="false" customHeight="false" outlineLevel="0" collapsed="false">
      <c r="B47" s="8" t="s">
        <v>240</v>
      </c>
      <c r="C47" s="3" t="s">
        <v>37</v>
      </c>
      <c r="E47" s="7" t="n">
        <f aca="false">E43+E44+E45+E46</f>
        <v>6617.03424657534</v>
      </c>
      <c r="F47" s="7" t="n">
        <f aca="false">F43+F44+F45+F46</f>
        <v>6569.00514730719</v>
      </c>
      <c r="G47" s="7" t="n">
        <f aca="false">G43+G44+G45+G46</f>
        <v>6665.37042085945</v>
      </c>
      <c r="H47" s="7" t="n">
        <f aca="false">H43+H44+H45+H46</f>
        <v>6807.70526757852</v>
      </c>
      <c r="I47" s="7" t="n">
        <f aca="false">I43+I44+I45+I46</f>
        <v>7000.28803827574</v>
      </c>
      <c r="J47" s="7" t="n">
        <f aca="false">J43+J44+J45+J46</f>
        <v>7247.79364104191</v>
      </c>
      <c r="K47" s="7" t="n">
        <f aca="false">K43+K44+K45+K46</f>
        <v>7444.54393496892</v>
      </c>
    </row>
    <row r="49" customFormat="false" ht="15" hidden="false" customHeight="false" outlineLevel="0" collapsed="false">
      <c r="B49" s="5" t="s">
        <v>241</v>
      </c>
      <c r="C49" s="3" t="s">
        <v>37</v>
      </c>
      <c r="E49" s="7" t="n">
        <f aca="false">Supuestos!$D$49</f>
        <v>4000</v>
      </c>
      <c r="F49" s="7" t="n">
        <f aca="false">E49</f>
        <v>4000</v>
      </c>
      <c r="G49" s="7" t="n">
        <f aca="false">F49</f>
        <v>4000</v>
      </c>
      <c r="H49" s="7" t="n">
        <f aca="false">G49</f>
        <v>4000</v>
      </c>
      <c r="I49" s="7" t="n">
        <f aca="false">H49</f>
        <v>4000</v>
      </c>
      <c r="J49" s="7" t="n">
        <f aca="false">I49</f>
        <v>4000</v>
      </c>
      <c r="K49" s="7" t="n">
        <f aca="false">J49</f>
        <v>4000</v>
      </c>
    </row>
    <row r="50" customFormat="false" ht="15" hidden="false" customHeight="false" outlineLevel="0" collapsed="false">
      <c r="B50" s="5" t="s">
        <v>242</v>
      </c>
      <c r="C50" s="3" t="s">
        <v>37</v>
      </c>
      <c r="E50" s="7" t="n">
        <f aca="false">0</f>
        <v>0</v>
      </c>
      <c r="F50" s="7" t="n">
        <f aca="false">E50+F58</f>
        <v>141.05</v>
      </c>
      <c r="G50" s="7" t="n">
        <f aca="false">F50+G58</f>
        <v>277.043</v>
      </c>
      <c r="H50" s="7" t="n">
        <f aca="false">G50+H58</f>
        <v>432.830476</v>
      </c>
      <c r="I50" s="7" t="n">
        <f aca="false">H50+I58</f>
        <v>610.289970992</v>
      </c>
      <c r="J50" s="7" t="n">
        <f aca="false">I50+J58</f>
        <v>811.480889795264</v>
      </c>
      <c r="K50" s="7" t="n">
        <f aca="false">J50+K58</f>
        <v>1038.66177801675</v>
      </c>
    </row>
    <row r="51" customFormat="false" ht="15" hidden="false" customHeight="false" outlineLevel="0" collapsed="false">
      <c r="B51" s="5" t="s">
        <v>243</v>
      </c>
      <c r="C51" s="3" t="s">
        <v>37</v>
      </c>
      <c r="E51" s="7" t="n">
        <f aca="false">E41-E47-E49-E50-E52</f>
        <v>-1580.95890410959</v>
      </c>
      <c r="F51" s="7" t="n">
        <f aca="false">E51+E16-F58+F30</f>
        <v>-734.658904109588</v>
      </c>
      <c r="G51" s="7" t="n">
        <f aca="false">F51+F16-G58+G30</f>
        <v>81.2990958904118</v>
      </c>
      <c r="H51" s="7" t="n">
        <f aca="false">G51+G16-H58+H30</f>
        <v>1016.02395189041</v>
      </c>
      <c r="I51" s="7" t="n">
        <f aca="false">H51+H16-I58+I30</f>
        <v>2080.78092184241</v>
      </c>
      <c r="J51" s="7" t="n">
        <f aca="false">I51+I16-J58+J30</f>
        <v>3287.926434662</v>
      </c>
      <c r="K51" s="7" t="n">
        <f aca="false">J51+J16-K58+K30</f>
        <v>4651.0117639909</v>
      </c>
    </row>
    <row r="52" customFormat="false" ht="15" hidden="false" customHeight="false" outlineLevel="0" collapsed="false">
      <c r="B52" s="5" t="s">
        <v>244</v>
      </c>
      <c r="C52" s="3" t="s">
        <v>37</v>
      </c>
      <c r="E52" s="7" t="n">
        <f aca="false">E16</f>
        <v>1410.5</v>
      </c>
      <c r="F52" s="7" t="n">
        <f aca="false">F16</f>
        <v>1359.93</v>
      </c>
      <c r="G52" s="7" t="n">
        <f aca="false">G16</f>
        <v>1557.87476</v>
      </c>
      <c r="H52" s="7" t="n">
        <f aca="false">H16</f>
        <v>1774.59494992</v>
      </c>
      <c r="I52" s="7" t="n">
        <f aca="false">I16</f>
        <v>2011.90918803264</v>
      </c>
      <c r="J52" s="7" t="n">
        <f aca="false">J16</f>
        <v>2271.80888221484</v>
      </c>
      <c r="K52" s="7" t="n">
        <f aca="false">K16</f>
        <v>2344.81070423684</v>
      </c>
    </row>
    <row r="53" customFormat="false" ht="15" hidden="false" customHeight="false" outlineLevel="0" collapsed="false">
      <c r="B53" s="8" t="s">
        <v>245</v>
      </c>
      <c r="C53" s="3" t="s">
        <v>37</v>
      </c>
      <c r="E53" s="7" t="n">
        <f aca="false">E49+E50+E51+E52</f>
        <v>3829.54109589041</v>
      </c>
      <c r="F53" s="7" t="n">
        <f aca="false">F49+F50+F51+F52</f>
        <v>4766.32109589041</v>
      </c>
      <c r="G53" s="7" t="n">
        <f aca="false">G49+G50+G51+G52</f>
        <v>5916.21685589041</v>
      </c>
      <c r="H53" s="7" t="n">
        <f aca="false">H49+H50+H51+H52</f>
        <v>7223.44937781041</v>
      </c>
      <c r="I53" s="7" t="n">
        <f aca="false">I49+I50+I51+I52</f>
        <v>8702.98008086705</v>
      </c>
      <c r="J53" s="7" t="n">
        <f aca="false">J49+J50+J51+J52</f>
        <v>10371.2162066721</v>
      </c>
      <c r="K53" s="7" t="n">
        <f aca="false">K49+K50+K51+K52</f>
        <v>12034.4842462445</v>
      </c>
    </row>
    <row r="54" customFormat="false" ht="15" hidden="false" customHeight="false" outlineLevel="0" collapsed="false">
      <c r="B54" s="5" t="s">
        <v>246</v>
      </c>
      <c r="C54" s="3" t="s">
        <v>37</v>
      </c>
      <c r="E54" s="7" t="n">
        <f aca="false">E43+E44</f>
        <v>2000</v>
      </c>
      <c r="F54" s="7" t="n">
        <f aca="false">F43+F44</f>
        <v>1600</v>
      </c>
      <c r="G54" s="7" t="n">
        <f aca="false">G43+G44</f>
        <v>1200</v>
      </c>
      <c r="H54" s="7" t="n">
        <f aca="false">H43+H44</f>
        <v>800</v>
      </c>
      <c r="I54" s="7" t="n">
        <f aca="false">I43+I44</f>
        <v>400</v>
      </c>
      <c r="J54" s="7" t="n">
        <f aca="false">J43+J44</f>
        <v>0</v>
      </c>
      <c r="K54" s="7" t="n">
        <f aca="false">K43+K44</f>
        <v>0</v>
      </c>
    </row>
    <row r="55" customFormat="false" ht="15" hidden="false" customHeight="false" outlineLevel="0" collapsed="false">
      <c r="B55" s="8" t="s">
        <v>247</v>
      </c>
      <c r="C55" s="3" t="s">
        <v>37</v>
      </c>
      <c r="E55" s="7" t="n">
        <f aca="false">E47+E53</f>
        <v>10446.5753424658</v>
      </c>
      <c r="F55" s="7" t="n">
        <f aca="false">F47+F53</f>
        <v>11335.3262431976</v>
      </c>
      <c r="G55" s="7" t="n">
        <f aca="false">G47+G53</f>
        <v>12581.5872767499</v>
      </c>
      <c r="H55" s="7" t="n">
        <f aca="false">H47+H53</f>
        <v>14031.1546453889</v>
      </c>
      <c r="I55" s="7" t="n">
        <f aca="false">I47+I53</f>
        <v>15703.2681191428</v>
      </c>
      <c r="J55" s="7" t="n">
        <f aca="false">J47+J53</f>
        <v>17619.009847714</v>
      </c>
      <c r="K55" s="7" t="n">
        <f aca="false">K47+K53</f>
        <v>19479.0281812134</v>
      </c>
    </row>
    <row r="56" customFormat="false" ht="15" hidden="false" customHeight="false" outlineLevel="0" collapsed="false">
      <c r="B56" s="8" t="s">
        <v>248</v>
      </c>
      <c r="C56" s="3" t="s">
        <v>37</v>
      </c>
      <c r="E56" s="7" t="n">
        <f aca="false">E41-E55</f>
        <v>0</v>
      </c>
      <c r="F56" s="7" t="n">
        <f aca="false">F41-F55</f>
        <v>0</v>
      </c>
      <c r="G56" s="7" t="n">
        <f aca="false">G41-G55</f>
        <v>0</v>
      </c>
      <c r="H56" s="7" t="n">
        <f aca="false">H41-H55</f>
        <v>0</v>
      </c>
      <c r="I56" s="7" t="n">
        <f aca="false">I41-I55</f>
        <v>0</v>
      </c>
      <c r="J56" s="7" t="n">
        <f aca="false">J41-J55</f>
        <v>0</v>
      </c>
      <c r="K56" s="7" t="n">
        <f aca="false">K41-K55</f>
        <v>0</v>
      </c>
    </row>
    <row r="58" customFormat="false" ht="15" hidden="false" customHeight="false" outlineLevel="0" collapsed="false">
      <c r="B58" s="5" t="s">
        <v>249</v>
      </c>
      <c r="C58" s="3" t="s">
        <v>37</v>
      </c>
      <c r="E58" s="7" t="n">
        <f aca="false">0</f>
        <v>0</v>
      </c>
      <c r="F58" s="7" t="n">
        <f aca="false">MIN(Supuestos!$D$66*MAX(E16,0),MAX(Supuestos!$D$64*F49-E50,0))</f>
        <v>141.05</v>
      </c>
      <c r="G58" s="7" t="n">
        <f aca="false">MIN(Supuestos!$D$66*MAX(F16,0),MAX(Supuestos!$D$64*G49-F50,0))</f>
        <v>135.993</v>
      </c>
      <c r="H58" s="7" t="n">
        <f aca="false">MIN(Supuestos!$D$66*MAX(G16,0),MAX(Supuestos!$D$64*H49-G50,0))</f>
        <v>155.787476</v>
      </c>
      <c r="I58" s="7" t="n">
        <f aca="false">MIN(Supuestos!$D$66*MAX(H16,0),MAX(Supuestos!$D$64*I49-H50,0))</f>
        <v>177.459494992</v>
      </c>
      <c r="J58" s="7" t="n">
        <f aca="false">MIN(Supuestos!$D$66*MAX(I16,0),MAX(Supuestos!$D$64*J49-I50,0))</f>
        <v>201.190918803264</v>
      </c>
      <c r="K58" s="7" t="n">
        <f aca="false">MIN(Supuestos!$D$66*MAX(J16,0),MAX(Supuestos!$D$64*K49-J50,0))</f>
        <v>227.180888221484</v>
      </c>
    </row>
    <row r="60" customFormat="false" ht="15" hidden="false" customHeight="false" outlineLevel="0" collapsed="false">
      <c r="B60" s="3" t="s">
        <v>250</v>
      </c>
    </row>
  </sheetData>
  <sheetProtection sheet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D3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52"/>
    <col collapsed="false" customWidth="true" hidden="false" outlineLevel="0" max="3" min="3" style="0" width="10"/>
    <col collapsed="false" customWidth="true" hidden="false" outlineLevel="0" max="4" min="4" style="0" width="52"/>
    <col collapsed="false" customWidth="true" hidden="false" outlineLevel="0" max="11" min="5" style="0" width="12.5"/>
  </cols>
  <sheetData>
    <row r="2" customFormat="false" ht="15" hidden="false" customHeight="false" outlineLevel="0" collapsed="false">
      <c r="B2" s="1" t="s">
        <v>251</v>
      </c>
    </row>
    <row r="3" customFormat="false" ht="15" hidden="false" customHeight="false" outlineLevel="0" collapsed="false">
      <c r="B3" s="3" t="s">
        <v>252</v>
      </c>
    </row>
    <row r="4" customFormat="false" ht="15" hidden="false" customHeight="false" outlineLevel="0" collapsed="false">
      <c r="B4" s="3" t="s">
        <v>253</v>
      </c>
    </row>
    <row r="6" customFormat="false" ht="15" hidden="false" customHeight="false" outlineLevel="0" collapsed="false">
      <c r="C6" s="2" t="s">
        <v>254</v>
      </c>
      <c r="D6" s="2" t="s">
        <v>255</v>
      </c>
    </row>
    <row r="7" customFormat="false" ht="15" hidden="false" customHeight="false" outlineLevel="0" collapsed="false">
      <c r="B7" s="5" t="s">
        <v>256</v>
      </c>
      <c r="C7" s="6" t="n">
        <v>0</v>
      </c>
      <c r="D7" s="15"/>
    </row>
    <row r="8" customFormat="false" ht="15" hidden="false" customHeight="false" outlineLevel="0" collapsed="false">
      <c r="B8" s="5" t="s">
        <v>257</v>
      </c>
      <c r="C8" s="6" t="n">
        <v>0</v>
      </c>
      <c r="D8" s="15"/>
    </row>
    <row r="9" customFormat="false" ht="15" hidden="false" customHeight="false" outlineLevel="0" collapsed="false">
      <c r="B9" s="5" t="s">
        <v>258</v>
      </c>
      <c r="C9" s="6" t="n">
        <v>0</v>
      </c>
      <c r="D9" s="15"/>
    </row>
    <row r="10" customFormat="false" ht="15" hidden="false" customHeight="false" outlineLevel="0" collapsed="false">
      <c r="B10" s="5" t="s">
        <v>259</v>
      </c>
      <c r="C10" s="6" t="n">
        <v>0</v>
      </c>
      <c r="D10" s="15"/>
    </row>
    <row r="11" customFormat="false" ht="15" hidden="false" customHeight="false" outlineLevel="0" collapsed="false">
      <c r="B11" s="5" t="s">
        <v>260</v>
      </c>
      <c r="C11" s="6" t="n">
        <v>0</v>
      </c>
      <c r="D11" s="15"/>
    </row>
    <row r="12" customFormat="false" ht="15" hidden="false" customHeight="false" outlineLevel="0" collapsed="false">
      <c r="B12" s="5" t="s">
        <v>261</v>
      </c>
      <c r="C12" s="6" t="n">
        <v>0</v>
      </c>
      <c r="D12" s="15"/>
    </row>
    <row r="13" customFormat="false" ht="15" hidden="false" customHeight="false" outlineLevel="0" collapsed="false">
      <c r="B13" s="5" t="s">
        <v>262</v>
      </c>
      <c r="C13" s="6" t="n">
        <v>0</v>
      </c>
      <c r="D13" s="15"/>
    </row>
    <row r="14" customFormat="false" ht="15" hidden="false" customHeight="false" outlineLevel="0" collapsed="false">
      <c r="B14" s="5" t="s">
        <v>263</v>
      </c>
      <c r="C14" s="6" t="n">
        <v>0</v>
      </c>
      <c r="D14" s="15"/>
    </row>
    <row r="15" customFormat="false" ht="15" hidden="false" customHeight="false" outlineLevel="0" collapsed="false">
      <c r="B15" s="5" t="s">
        <v>264</v>
      </c>
      <c r="C15" s="6" t="n">
        <v>0</v>
      </c>
      <c r="D15" s="15"/>
    </row>
    <row r="16" customFormat="false" ht="15" hidden="false" customHeight="false" outlineLevel="0" collapsed="false">
      <c r="B16" s="5" t="s">
        <v>265</v>
      </c>
      <c r="C16" s="6" t="n">
        <v>0</v>
      </c>
      <c r="D16" s="15"/>
    </row>
    <row r="17" customFormat="false" ht="15" hidden="false" customHeight="false" outlineLevel="0" collapsed="false">
      <c r="B17" s="5" t="s">
        <v>266</v>
      </c>
      <c r="C17" s="6" t="n">
        <v>0</v>
      </c>
      <c r="D17" s="15"/>
    </row>
    <row r="18" customFormat="false" ht="15" hidden="false" customHeight="false" outlineLevel="0" collapsed="false">
      <c r="B18" s="5" t="s">
        <v>267</v>
      </c>
      <c r="C18" s="6" t="n">
        <v>0</v>
      </c>
      <c r="D18" s="15"/>
    </row>
    <row r="19" customFormat="false" ht="15" hidden="false" customHeight="false" outlineLevel="0" collapsed="false">
      <c r="B19" s="5" t="s">
        <v>268</v>
      </c>
      <c r="C19" s="6" t="n">
        <v>0</v>
      </c>
      <c r="D19" s="15"/>
    </row>
    <row r="20" customFormat="false" ht="15" hidden="false" customHeight="false" outlineLevel="0" collapsed="false">
      <c r="B20" s="5" t="s">
        <v>269</v>
      </c>
      <c r="C20" s="6" t="n">
        <v>0</v>
      </c>
      <c r="D20" s="15"/>
    </row>
    <row r="21" customFormat="false" ht="15" hidden="false" customHeight="false" outlineLevel="0" collapsed="false">
      <c r="B21" s="5" t="s">
        <v>270</v>
      </c>
      <c r="C21" s="6" t="n">
        <v>0</v>
      </c>
      <c r="D21" s="15"/>
    </row>
    <row r="22" customFormat="false" ht="15" hidden="false" customHeight="false" outlineLevel="0" collapsed="false">
      <c r="B22" s="5" t="s">
        <v>271</v>
      </c>
      <c r="C22" s="6" t="n">
        <v>0</v>
      </c>
      <c r="D22" s="15"/>
    </row>
    <row r="23" customFormat="false" ht="15" hidden="false" customHeight="false" outlineLevel="0" collapsed="false">
      <c r="B23" s="5" t="s">
        <v>272</v>
      </c>
      <c r="C23" s="6" t="n">
        <v>0</v>
      </c>
      <c r="D23" s="15"/>
    </row>
    <row r="24" customFormat="false" ht="15" hidden="false" customHeight="false" outlineLevel="0" collapsed="false">
      <c r="B24" s="5" t="s">
        <v>273</v>
      </c>
      <c r="C24" s="6" t="n">
        <v>0</v>
      </c>
      <c r="D24" s="15"/>
    </row>
    <row r="26" customFormat="false" ht="15" hidden="false" customHeight="false" outlineLevel="0" collapsed="false">
      <c r="B26" s="5" t="s">
        <v>274</v>
      </c>
      <c r="C26" s="12" t="n">
        <f aca="false">COUNT(C7:C24)</f>
        <v>18</v>
      </c>
    </row>
    <row r="27" customFormat="false" ht="15" hidden="false" customHeight="false" outlineLevel="0" collapsed="false">
      <c r="B27" s="5" t="s">
        <v>275</v>
      </c>
      <c r="C27" s="6" t="n">
        <v>4</v>
      </c>
    </row>
    <row r="28" customFormat="false" ht="15" hidden="false" customHeight="false" outlineLevel="0" collapsed="false">
      <c r="B28" s="5" t="s">
        <v>276</v>
      </c>
      <c r="C28" s="10" t="n">
        <v>0.05</v>
      </c>
      <c r="D28" s="24" t="n">
        <f aca="false">SUM(C7:C24)*C28/(C26*C27)</f>
        <v>0</v>
      </c>
    </row>
    <row r="29" customFormat="false" ht="15" hidden="false" customHeight="false" outlineLevel="0" collapsed="false">
      <c r="B29" s="2" t="s">
        <v>277</v>
      </c>
    </row>
    <row r="31" customFormat="false" ht="15" hidden="false" customHeight="false" outlineLevel="0" collapsed="false">
      <c r="B31" s="5" t="s">
        <v>278</v>
      </c>
      <c r="C31" s="15"/>
    </row>
    <row r="32" customFormat="false" ht="15" hidden="false" customHeight="false" outlineLevel="0" collapsed="false">
      <c r="B32" s="3" t="s">
        <v>279</v>
      </c>
    </row>
  </sheetData>
  <sheetProtection sheet="true"/>
  <dataValidations count="1">
    <dataValidation allowBlank="true" error="Solo enteros 0 a 4" errorStyle="stop" errorTitle="Entrada inválida" operator="between" prompt="Entero de 0 (menor riesgo) a 4 (mayor riesgo)" promptTitle="Puntaje PC" showDropDown="false" showErrorMessage="true" showInputMessage="true" sqref="C7:C24" type="whole">
      <formula1>0</formula1>
      <formula2>4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L3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6"/>
    <col collapsed="false" customWidth="true" hidden="false" outlineLevel="0" max="3" min="3" style="0" width="10"/>
    <col collapsed="false" customWidth="true" hidden="false" outlineLevel="0" max="7" min="4" style="0" width="12"/>
    <col collapsed="false" customWidth="true" hidden="false" outlineLevel="0" max="8" min="8" style="0" width="22"/>
    <col collapsed="false" customWidth="true" hidden="false" outlineLevel="0" max="9" min="9" style="0" width="30"/>
    <col collapsed="false" customWidth="true" hidden="false" outlineLevel="0" max="11" min="10" style="0" width="55"/>
    <col collapsed="false" customWidth="true" hidden="false" outlineLevel="0" max="12" min="12" style="0" width="11"/>
  </cols>
  <sheetData>
    <row r="2" customFormat="false" ht="15" hidden="false" customHeight="false" outlineLevel="0" collapsed="false">
      <c r="B2" s="1" t="s">
        <v>280</v>
      </c>
    </row>
    <row r="3" customFormat="false" ht="15" hidden="false" customHeight="false" outlineLevel="0" collapsed="false">
      <c r="B3" s="3" t="s">
        <v>281</v>
      </c>
      <c r="F3" s="25" t="n">
        <f aca="false">Supuestos!$D$76</f>
        <v>46213</v>
      </c>
    </row>
    <row r="4" customFormat="false" ht="15" hidden="false" customHeight="false" outlineLevel="0" collapsed="false">
      <c r="D4" s="2" t="s">
        <v>282</v>
      </c>
      <c r="E4" s="2" t="s">
        <v>283</v>
      </c>
      <c r="F4" s="2" t="s">
        <v>284</v>
      </c>
      <c r="G4" s="2" t="s">
        <v>285</v>
      </c>
      <c r="H4" s="2" t="s">
        <v>286</v>
      </c>
      <c r="I4" s="2" t="s">
        <v>287</v>
      </c>
      <c r="J4" s="2" t="s">
        <v>288</v>
      </c>
      <c r="K4" s="2" t="s">
        <v>289</v>
      </c>
      <c r="L4" s="2" t="s">
        <v>290</v>
      </c>
    </row>
    <row r="5" customFormat="false" ht="15" hidden="false" customHeight="false" outlineLevel="0" collapsed="false">
      <c r="B5" s="5" t="s">
        <v>291</v>
      </c>
      <c r="D5" s="26" t="n">
        <v>0.0456</v>
      </c>
      <c r="E5" s="27" t="n">
        <v>0.0456</v>
      </c>
      <c r="F5" s="28" t="n">
        <v>46213</v>
      </c>
      <c r="G5" s="28" t="n">
        <v>46213</v>
      </c>
      <c r="H5" s="29" t="s">
        <v>292</v>
      </c>
      <c r="I5" s="29" t="s">
        <v>293</v>
      </c>
      <c r="J5" s="29" t="s">
        <v>294</v>
      </c>
      <c r="K5" s="29" t="s">
        <v>295</v>
      </c>
      <c r="L5" s="5" t="str">
        <f aca="false">IF(OR($H$5="",$J$5=""),"SIN FUENTE",IF(OR($F$5="",$G$5=""),"SIN FUENTE",IF($F$5&gt;$F$3,"ERROR",IF(ABS($D$5-$E$5)&gt;Supuestos!$D$88,"ERROR",IF($F$3-$F$5&lt;=Supuestos!$D$77,"OK",IF($K$5&lt;&gt;"","REVISAR","ERROR"))))))</f>
        <v>OK</v>
      </c>
    </row>
    <row r="6" customFormat="false" ht="22.35" hidden="false" customHeight="false" outlineLevel="0" collapsed="false">
      <c r="B6" s="5" t="s">
        <v>296</v>
      </c>
      <c r="D6" s="27" t="n">
        <v>0.0418</v>
      </c>
      <c r="E6" s="27" t="n">
        <v>0.0418</v>
      </c>
      <c r="F6" s="28" t="n">
        <v>46204</v>
      </c>
      <c r="G6" s="28" t="n">
        <v>46204</v>
      </c>
      <c r="H6" s="29" t="s">
        <v>297</v>
      </c>
      <c r="I6" s="29" t="s">
        <v>298</v>
      </c>
      <c r="J6" s="29" t="s">
        <v>299</v>
      </c>
      <c r="K6" s="29" t="s">
        <v>300</v>
      </c>
      <c r="L6" s="5" t="str">
        <f aca="false">IF(OR($H$6="",$J$6=""),"SIN FUENTE",IF(OR($F$6="",$G$6=""),"SIN FUENTE",IF($F$6&gt;$F$3,"ERROR",IF(ABS($D$6-$E$6)&gt;Supuestos!$D$88,"ERROR",IF($F$3-$F$6&lt;=Supuestos!$D$77,"OK",IF($K$6&lt;&gt;"","REVISAR","ERROR"))))))</f>
        <v>OK</v>
      </c>
    </row>
    <row r="7" customFormat="false" ht="22.35" hidden="false" customHeight="false" outlineLevel="0" collapsed="false">
      <c r="B7" s="5" t="s">
        <v>301</v>
      </c>
      <c r="D7" s="30" t="s">
        <v>302</v>
      </c>
      <c r="E7" s="30" t="s">
        <v>302</v>
      </c>
      <c r="F7" s="28" t="n">
        <v>45834</v>
      </c>
      <c r="G7" s="28" t="n">
        <v>45834</v>
      </c>
      <c r="H7" s="29" t="s">
        <v>303</v>
      </c>
      <c r="I7" s="29" t="s">
        <v>304</v>
      </c>
      <c r="J7" s="29" t="s">
        <v>305</v>
      </c>
      <c r="K7" s="29" t="s">
        <v>306</v>
      </c>
      <c r="L7" s="5" t="str">
        <f aca="false">IF(OR($H$7="",$J$7=""),"SIN FUENTE",IF(OR($F$7="",$G$7=""),"SIN FUENTE",IF($F$7&gt;$F$3,"ERROR",IF(NOT(EXACT($D$7,$E$7)),"ERROR",IF($K$7&lt;&gt;"","OK","REVISAR")))))</f>
        <v>OK</v>
      </c>
    </row>
    <row r="8" customFormat="false" ht="22.35" hidden="false" customHeight="false" outlineLevel="0" collapsed="false">
      <c r="B8" s="5" t="s">
        <v>307</v>
      </c>
      <c r="D8" s="30" t="s">
        <v>308</v>
      </c>
      <c r="E8" s="30" t="s">
        <v>308</v>
      </c>
      <c r="F8" s="28" t="n">
        <v>46120</v>
      </c>
      <c r="G8" s="28" t="n">
        <v>46120</v>
      </c>
      <c r="H8" s="29" t="s">
        <v>309</v>
      </c>
      <c r="I8" s="29" t="s">
        <v>310</v>
      </c>
      <c r="J8" s="29" t="s">
        <v>311</v>
      </c>
      <c r="K8" s="29" t="s">
        <v>312</v>
      </c>
      <c r="L8" s="5" t="str">
        <f aca="false">IF(OR($H$8="",$J$8=""),"SIN FUENTE",IF(OR($F$8="",$G$8=""),"SIN FUENTE",IF($F$8&gt;$F$3,"ERROR",IF(NOT(EXACT($D$8,$E$8)),"ERROR",IF($K$8&lt;&gt;"","OK","REVISAR")))))</f>
        <v>OK</v>
      </c>
    </row>
    <row r="9" customFormat="false" ht="43.25" hidden="false" customHeight="false" outlineLevel="0" collapsed="false">
      <c r="B9" s="5" t="s">
        <v>313</v>
      </c>
      <c r="D9" s="30" t="s">
        <v>314</v>
      </c>
      <c r="E9" s="30" t="s">
        <v>314</v>
      </c>
      <c r="F9" s="28" t="n">
        <v>45992</v>
      </c>
      <c r="G9" s="28" t="n">
        <v>45992</v>
      </c>
      <c r="H9" s="29" t="s">
        <v>315</v>
      </c>
      <c r="I9" s="29" t="s">
        <v>316</v>
      </c>
      <c r="J9" s="29" t="s">
        <v>311</v>
      </c>
      <c r="K9" s="29" t="s">
        <v>312</v>
      </c>
      <c r="L9" s="5" t="str">
        <f aca="false">IF(OR($H$9="",$J$9=""),"SIN FUENTE",IF(OR($F$9="",$G$9=""),"SIN FUENTE",IF($F$9&gt;$F$3,"ERROR",IF(NOT(EXACT($D$9,$E$9)),"ERROR",IF($K$9&lt;&gt;"","OK","REVISAR")))))</f>
        <v>OK</v>
      </c>
    </row>
    <row r="11" customFormat="false" ht="43.25" hidden="false" customHeight="false" outlineLevel="0" collapsed="false">
      <c r="B11" s="5" t="s">
        <v>317</v>
      </c>
      <c r="D11" s="27" t="n">
        <v>0.0187</v>
      </c>
      <c r="E11" s="27" t="n">
        <v>0.0187</v>
      </c>
      <c r="F11" s="28" t="n">
        <v>46027</v>
      </c>
      <c r="G11" s="28" t="n">
        <v>46027</v>
      </c>
      <c r="H11" s="29" t="s">
        <v>297</v>
      </c>
      <c r="I11" s="29" t="s">
        <v>318</v>
      </c>
      <c r="J11" s="29" t="s">
        <v>319</v>
      </c>
      <c r="K11" s="29" t="s">
        <v>320</v>
      </c>
      <c r="L11" s="5" t="str">
        <f aca="false">IF(OR($H$11="",$J$11=""),"SIN FUENTE",IF(OR($F$11="",$G$11=""),"SIN FUENTE",IF($F$11&gt;$F$3,"ERROR",IF(ABS($D$11-$E$11)&gt;Supuestos!$D$88,"ERROR",IF($F$3-$F$11&lt;=Supuestos!$D$77,"OK",IF($K$11&lt;&gt;"","REVISAR","ERROR"))))))</f>
        <v>OK</v>
      </c>
    </row>
    <row r="12" customFormat="false" ht="43.25" hidden="false" customHeight="false" outlineLevel="0" collapsed="false">
      <c r="B12" s="5" t="s">
        <v>321</v>
      </c>
      <c r="D12" s="26" t="n">
        <v>0.0285</v>
      </c>
      <c r="E12" s="27" t="n">
        <v>0.0285</v>
      </c>
      <c r="F12" s="28" t="n">
        <v>46027</v>
      </c>
      <c r="G12" s="28" t="n">
        <v>46027</v>
      </c>
      <c r="H12" s="29" t="s">
        <v>297</v>
      </c>
      <c r="I12" s="29" t="s">
        <v>322</v>
      </c>
      <c r="J12" s="29" t="s">
        <v>323</v>
      </c>
      <c r="K12" s="29" t="s">
        <v>324</v>
      </c>
      <c r="L12" s="5" t="s">
        <v>325</v>
      </c>
    </row>
    <row r="13" customFormat="false" ht="32.8" hidden="false" customHeight="false" outlineLevel="0" collapsed="false">
      <c r="B13" s="5" t="s">
        <v>326</v>
      </c>
      <c r="D13" s="17" t="n">
        <v>0.8</v>
      </c>
      <c r="E13" s="17" t="n">
        <v>0.8</v>
      </c>
      <c r="F13" s="28" t="n">
        <v>46027</v>
      </c>
      <c r="G13" s="28" t="n">
        <v>46027</v>
      </c>
      <c r="H13" s="29" t="s">
        <v>297</v>
      </c>
      <c r="I13" s="29" t="s">
        <v>327</v>
      </c>
      <c r="J13" s="29" t="s">
        <v>328</v>
      </c>
      <c r="K13" s="29" t="s">
        <v>329</v>
      </c>
      <c r="L13" s="5" t="str">
        <f aca="false">IF(OR($H$13="",$J$13=""),"SIN FUENTE",IF(OR($F$13="",$G$13=""),"SIN FUENTE",IF($F$13&gt;$F$3,"ERROR",IF(ABS($D$13-$E$13)&gt;Supuestos!$D$88,"ERROR",IF($F$3-$F$13&lt;=Supuestos!$D$77,"OK",IF($K$13&lt;&gt;"","REVISAR","ERROR"))))))</f>
        <v>OK</v>
      </c>
    </row>
    <row r="14" customFormat="false" ht="15" hidden="false" customHeight="false" outlineLevel="0" collapsed="false">
      <c r="B14" s="5" t="s">
        <v>330</v>
      </c>
      <c r="D14" s="17" t="n">
        <v>0.5</v>
      </c>
      <c r="E14" s="17" t="n">
        <v>0.5</v>
      </c>
      <c r="F14" s="28" t="n">
        <v>46213</v>
      </c>
      <c r="G14" s="28" t="n">
        <v>46213</v>
      </c>
      <c r="H14" s="29" t="s">
        <v>331</v>
      </c>
      <c r="I14" s="29" t="s">
        <v>332</v>
      </c>
      <c r="J14" s="29" t="s">
        <v>333</v>
      </c>
      <c r="L14" s="5" t="str">
        <f aca="false">IF(OR($H$14="",$J$14=""),"SIN FUENTE",IF(OR($F$14="",$G$14=""),"SIN FUENTE",IF($F$14&gt;$F$3,"ERROR",IF(ABS($D$14-$E$14)&gt;Supuestos!$D$88,"ERROR",IF($F$3-$F$14&lt;=Supuestos!$D$77,"OK",IF($K$14&lt;&gt;"","REVISAR","ERROR"))))))</f>
        <v>OK</v>
      </c>
    </row>
    <row r="15" customFormat="false" ht="15" hidden="false" customHeight="false" outlineLevel="0" collapsed="false">
      <c r="B15" s="5" t="s">
        <v>334</v>
      </c>
      <c r="D15" s="24" t="n">
        <f aca="false">IFERROR((Supuestos!$D$51*Supuestos!$G$42+Supuestos!$D$55*Supuestos!$D$58+Supuestos!$D$59*Supuestos!$D$62)/(Supuestos!$D$51+Supuestos!$D$55+Supuestos!$D$59),Supuestos!$G$42)</f>
        <v>0.14</v>
      </c>
      <c r="J15" s="29" t="s">
        <v>335</v>
      </c>
    </row>
    <row r="16" customFormat="false" ht="64.15" hidden="false" customHeight="false" outlineLevel="0" collapsed="false">
      <c r="B16" s="5" t="s">
        <v>336</v>
      </c>
      <c r="D16" s="31" t="n">
        <f aca="false">Supuestos!$G$42</f>
        <v>0.14</v>
      </c>
      <c r="E16" s="32" t="n">
        <f aca="false">Supuestos!$G$42</f>
        <v>0.14</v>
      </c>
      <c r="F16" s="28" t="n">
        <v>46213</v>
      </c>
      <c r="G16" s="28" t="n">
        <v>46213</v>
      </c>
      <c r="H16" s="29" t="s">
        <v>337</v>
      </c>
      <c r="I16" s="29" t="s">
        <v>338</v>
      </c>
      <c r="J16" s="29" t="s">
        <v>339</v>
      </c>
      <c r="K16" s="29" t="s">
        <v>340</v>
      </c>
      <c r="L16" s="5" t="s">
        <v>325</v>
      </c>
    </row>
    <row r="17" customFormat="false" ht="15" hidden="false" customHeight="false" outlineLevel="0" collapsed="false">
      <c r="B17" s="5" t="s">
        <v>341</v>
      </c>
      <c r="D17" s="21" t="n">
        <f aca="false">Supuestos!$D$63</f>
        <v>0.35</v>
      </c>
      <c r="H17" s="29" t="s">
        <v>342</v>
      </c>
      <c r="J17" s="29" t="s">
        <v>343</v>
      </c>
    </row>
    <row r="18" customFormat="false" ht="15" hidden="false" customHeight="false" outlineLevel="0" collapsed="false">
      <c r="B18" s="5" t="s">
        <v>344</v>
      </c>
      <c r="D18" s="33" t="n">
        <f aca="false">D13*(1+(1-D17)*D14)</f>
        <v>1.06</v>
      </c>
      <c r="J18" s="29" t="s">
        <v>345</v>
      </c>
    </row>
    <row r="19" customFormat="false" ht="15" hidden="false" customHeight="false" outlineLevel="0" collapsed="false">
      <c r="B19" s="5" t="s">
        <v>346</v>
      </c>
      <c r="D19" s="32" t="n">
        <f aca="false">PC!D28</f>
        <v>0</v>
      </c>
      <c r="H19" s="29" t="s">
        <v>347</v>
      </c>
      <c r="J19" s="29" t="s">
        <v>348</v>
      </c>
    </row>
    <row r="20" customFormat="false" ht="15" hidden="false" customHeight="false" outlineLevel="0" collapsed="false">
      <c r="B20" s="5" t="s">
        <v>349</v>
      </c>
      <c r="D20" s="24" t="n">
        <f aca="false">D5+D18*D6+D12+D19</f>
        <v>0.118408</v>
      </c>
      <c r="J20" s="29" t="s">
        <v>350</v>
      </c>
    </row>
    <row r="21" customFormat="false" ht="22.35" hidden="false" customHeight="false" outlineLevel="0" collapsed="false">
      <c r="B21" s="5" t="s">
        <v>351</v>
      </c>
      <c r="D21" s="13" t="n">
        <v>0.03</v>
      </c>
      <c r="E21" s="10" t="n">
        <v>0.03</v>
      </c>
      <c r="F21" s="28" t="n">
        <v>46213</v>
      </c>
      <c r="G21" s="28" t="n">
        <v>46213</v>
      </c>
      <c r="H21" s="29" t="s">
        <v>352</v>
      </c>
      <c r="I21" s="29" t="s">
        <v>353</v>
      </c>
      <c r="J21" s="29" t="s">
        <v>354</v>
      </c>
      <c r="K21" s="29" t="s">
        <v>355</v>
      </c>
      <c r="L21" s="5" t="str">
        <f aca="false">IF(OR($H$21="",$J$21=""),"SIN FUENTE",IF(OR($F$21="",$G$21=""),"SIN FUENTE",IF($F$21&gt;$F$3,"ERROR",IF(ABS($D$21-$E$21)&gt;Supuestos!$D$88,"ERROR",IF($F$3-$F$21&lt;=Supuestos!$D$77,"OK",IF($K$21&lt;&gt;"","REVISAR","ERROR"))))))</f>
        <v>OK</v>
      </c>
    </row>
    <row r="22" customFormat="false" ht="15" hidden="false" customHeight="false" outlineLevel="0" collapsed="false">
      <c r="B22" s="5" t="s">
        <v>356</v>
      </c>
      <c r="D22" s="10" t="n">
        <v>0.02</v>
      </c>
      <c r="E22" s="10" t="n">
        <v>0.02</v>
      </c>
      <c r="F22" s="28" t="n">
        <v>46213</v>
      </c>
      <c r="G22" s="28" t="n">
        <v>46213</v>
      </c>
      <c r="H22" s="29" t="s">
        <v>357</v>
      </c>
      <c r="I22" s="29" t="s">
        <v>358</v>
      </c>
      <c r="J22" s="29" t="s">
        <v>359</v>
      </c>
      <c r="K22" s="29" t="s">
        <v>355</v>
      </c>
      <c r="L22" s="5" t="str">
        <f aca="false">IF(OR($H$22="",$J$22=""),"SIN FUENTE",IF(OR($F$22="",$G$22=""),"SIN FUENTE",IF($F$22&gt;$F$3,"ERROR",IF(ABS($D$22-$E$22)&gt;Supuestos!$D$88,"ERROR",IF($F$3-$F$22&lt;=Supuestos!$D$77,"OK",IF($K$22&lt;&gt;"","REVISAR","ERROR"))))))</f>
        <v>OK</v>
      </c>
    </row>
    <row r="23" customFormat="false" ht="15" hidden="false" customHeight="false" outlineLevel="0" collapsed="false">
      <c r="B23" s="5" t="s">
        <v>360</v>
      </c>
      <c r="D23" s="24" t="n">
        <f aca="false">(1+D21)/(1+D22)-1</f>
        <v>0.00980392156862742</v>
      </c>
      <c r="J23" s="3" t="s">
        <v>361</v>
      </c>
    </row>
    <row r="24" customFormat="false" ht="15" hidden="false" customHeight="false" outlineLevel="0" collapsed="false">
      <c r="B24" s="5" t="s">
        <v>362</v>
      </c>
      <c r="D24" s="24" t="n">
        <f aca="false">(1+D20)*(1+D23)-1</f>
        <v>0.129372784313726</v>
      </c>
      <c r="J24" s="3" t="s">
        <v>363</v>
      </c>
    </row>
    <row r="25" customFormat="false" ht="15" hidden="false" customHeight="false" outlineLevel="0" collapsed="false">
      <c r="B25" s="5" t="s">
        <v>364</v>
      </c>
      <c r="D25" s="24" t="n">
        <f aca="false">D16*(1-D17)</f>
        <v>0.091</v>
      </c>
    </row>
    <row r="26" customFormat="false" ht="15" hidden="false" customHeight="false" outlineLevel="0" collapsed="false">
      <c r="B26" s="5" t="s">
        <v>365</v>
      </c>
      <c r="D26" s="11" t="n">
        <f aca="false">1/(1+D14)</f>
        <v>0.666666666666667</v>
      </c>
    </row>
    <row r="27" customFormat="false" ht="15" hidden="false" customHeight="false" outlineLevel="0" collapsed="false">
      <c r="B27" s="5" t="s">
        <v>366</v>
      </c>
      <c r="D27" s="11" t="n">
        <f aca="false">D14/(1+D14)</f>
        <v>0.333333333333333</v>
      </c>
    </row>
    <row r="28" customFormat="false" ht="15" hidden="false" customHeight="false" outlineLevel="0" collapsed="false">
      <c r="B28" s="2" t="s">
        <v>367</v>
      </c>
      <c r="D28" s="34" t="n">
        <f aca="false">D26*D24+D27*D25</f>
        <v>0.11658185620915</v>
      </c>
    </row>
    <row r="30" customFormat="false" ht="15" hidden="false" customHeight="false" outlineLevel="0" collapsed="false">
      <c r="B30" s="3" t="s">
        <v>368</v>
      </c>
    </row>
    <row r="31" customFormat="false" ht="15" hidden="false" customHeight="false" outlineLevel="0" collapsed="false">
      <c r="B31" s="3" t="s">
        <v>369</v>
      </c>
    </row>
  </sheetData>
  <sheetProtection sheet="true"/>
  <dataValidations count="1">
    <dataValidation allowBlank="true" error="Posterior al corte de valoración" errorStyle="stop" errorTitle="Entrada inválida" operator="between" prompt="No puede ser posterior al corte de información" promptTitle="Fecha" showDropDown="false" showErrorMessage="true" showInputMessage="true" sqref="F5:G22" type="date">
      <formula1>DATE(2000,1,1)</formula1>
      <formula2>$F$3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4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4" topLeftCell="E5" activePane="bottomRight" state="frozen"/>
      <selection pane="topLeft" activeCell="A1" activeCellId="0" sqref="A1"/>
      <selection pane="topRight" activeCell="E1" activeCellId="0" sqref="E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52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5" min="5" style="0" width="12.5"/>
    <col collapsed="false" customWidth="true" hidden="false" outlineLevel="0" max="6" min="6" style="0" width="18"/>
    <col collapsed="false" customWidth="true" hidden="false" outlineLevel="0" max="7" min="7" style="0" width="12"/>
    <col collapsed="false" customWidth="true" hidden="false" outlineLevel="0" max="8" min="8" style="0" width="40"/>
    <col collapsed="false" customWidth="true" hidden="false" outlineLevel="0" max="11" min="9" style="0" width="12.5"/>
  </cols>
  <sheetData>
    <row r="2" customFormat="false" ht="15" hidden="false" customHeight="false" outlineLevel="0" collapsed="false">
      <c r="B2" s="1" t="s">
        <v>370</v>
      </c>
    </row>
    <row r="3" customFormat="false" ht="15" hidden="false" customHeight="false" outlineLevel="0" collapsed="false">
      <c r="B3" s="19" t="str">
        <f aca="false">CONCATENATE("Cifras en: ",Supuestos!$D$6)</f>
        <v>Cifras en: Millones de COP</v>
      </c>
    </row>
    <row r="4" customFormat="false" ht="15" hidden="false" customHeight="false" outlineLevel="0" collapsed="false">
      <c r="C4" s="2" t="s">
        <v>123</v>
      </c>
      <c r="D4" s="2" t="s">
        <v>124</v>
      </c>
      <c r="F4" s="20" t="s">
        <v>126</v>
      </c>
      <c r="G4" s="20" t="s">
        <v>127</v>
      </c>
      <c r="H4" s="20" t="s">
        <v>128</v>
      </c>
      <c r="I4" s="20" t="s">
        <v>129</v>
      </c>
      <c r="J4" s="20" t="s">
        <v>130</v>
      </c>
      <c r="K4" s="20" t="s">
        <v>131</v>
      </c>
    </row>
    <row r="5" customFormat="false" ht="15" hidden="false" customHeight="false" outlineLevel="0" collapsed="false">
      <c r="B5" s="5" t="s">
        <v>371</v>
      </c>
      <c r="C5" s="3" t="s">
        <v>37</v>
      </c>
      <c r="F5" s="22" t="n">
        <f aca="false">Modelo!F23</f>
        <v>1286.445969225</v>
      </c>
      <c r="G5" s="22" t="n">
        <f aca="false">Modelo!G23</f>
        <v>1445.69844834678</v>
      </c>
      <c r="H5" s="22" t="n">
        <f aca="false">Modelo!H23</f>
        <v>1644.14321759468</v>
      </c>
      <c r="I5" s="22" t="n">
        <f aca="false">Modelo!I23</f>
        <v>1861.1694963334</v>
      </c>
      <c r="J5" s="22" t="n">
        <f aca="false">Modelo!J23</f>
        <v>2098.58353887927</v>
      </c>
      <c r="K5" s="22" t="n">
        <f aca="false">Modelo!K23</f>
        <v>2124.26342054001</v>
      </c>
    </row>
    <row r="6" customFormat="false" ht="15" hidden="false" customHeight="false" outlineLevel="0" collapsed="false">
      <c r="B6" s="5" t="s">
        <v>372</v>
      </c>
      <c r="F6" s="35" t="n">
        <f aca="false">IF(Supuestos!$D$9=1,1/(1+WACC!$D$28)^1,1/(1+WACC!$D$28)^(1-Supuestos!$D$83))</f>
        <v>0.895590407849765</v>
      </c>
      <c r="G6" s="35" t="n">
        <f aca="false">IF(Supuestos!$D$9=1,1/(1+WACC!$D$28)^2,1/(1+WACC!$D$28)^(2-Supuestos!$D$83))</f>
        <v>0.802082178632508</v>
      </c>
      <c r="H6" s="35" t="n">
        <f aca="false">IF(Supuestos!$D$9=1,1/(1+WACC!$D$28)^3,1/(1+WACC!$D$28)^(3-Supuestos!$D$83))</f>
        <v>0.718337105490515</v>
      </c>
      <c r="I6" s="35" t="n">
        <f aca="false">IF(Supuestos!$D$9=1,1/(1+WACC!$D$28)^4,1/(1+WACC!$D$28)^(4-Supuestos!$D$83))</f>
        <v>0.64333582127987</v>
      </c>
      <c r="J6" s="35" t="n">
        <f aca="false">IF(Supuestos!$D$9=1,1/(1+WACC!$D$28)^5,1/(1+WACC!$D$28)^(5-Supuestos!$D$83))</f>
        <v>0.576165390564402</v>
      </c>
      <c r="K6" s="35" t="n">
        <f aca="false">IF(Supuestos!$D$9=1,1/(1+WACC!$D$28)^6,1/(1+WACC!$D$28)^(6-Supuestos!$D$83))</f>
        <v>0.516008197124491</v>
      </c>
    </row>
    <row r="7" customFormat="false" ht="15" hidden="false" customHeight="false" outlineLevel="0" collapsed="false">
      <c r="B7" s="5" t="s">
        <v>373</v>
      </c>
      <c r="C7" s="3" t="s">
        <v>37</v>
      </c>
      <c r="F7" s="7" t="n">
        <f aca="false">F5*F6</f>
        <v>1152.1286702549</v>
      </c>
      <c r="G7" s="7" t="n">
        <f aca="false">G5*G6</f>
        <v>1159.56896109562</v>
      </c>
      <c r="H7" s="7" t="n">
        <f aca="false">H5*H6</f>
        <v>1181.04907993883</v>
      </c>
      <c r="I7" s="7" t="n">
        <f aca="false">I5*I6</f>
        <v>1197.35700646469</v>
      </c>
      <c r="J7" s="7" t="n">
        <f aca="false">J5*J6</f>
        <v>1209.1312043104</v>
      </c>
      <c r="K7" s="7" t="n">
        <f aca="false">K5*K6</f>
        <v>1096.13733785035</v>
      </c>
    </row>
    <row r="9" customFormat="false" ht="15" hidden="false" customHeight="false" outlineLevel="0" collapsed="false">
      <c r="B9" s="2" t="s">
        <v>374</v>
      </c>
      <c r="E9" s="7" t="n">
        <f aca="false">SUM(F7:J7)</f>
        <v>5899.23492206444</v>
      </c>
    </row>
    <row r="10" customFormat="false" ht="15" hidden="false" customHeight="false" outlineLevel="0" collapsed="false">
      <c r="B10" s="5" t="s">
        <v>375</v>
      </c>
      <c r="E10" s="21" t="n">
        <f aca="false">Supuestos!$G$43</f>
        <v>0.03</v>
      </c>
    </row>
    <row r="11" customFormat="false" ht="15" hidden="false" customHeight="false" outlineLevel="0" collapsed="false">
      <c r="B11" s="5" t="s">
        <v>376</v>
      </c>
      <c r="E11" s="5" t="str">
        <f aca="false">IF(WACC!$D$28&gt;E10,"OK","ERROR: WACC&lt;=g")</f>
        <v>OK</v>
      </c>
    </row>
    <row r="12" customFormat="false" ht="15" hidden="false" customHeight="false" outlineLevel="0" collapsed="false">
      <c r="B12" s="2" t="s">
        <v>377</v>
      </c>
      <c r="E12" s="7" t="n">
        <f aca="false">CHOOSE(Supuestos!$D$8,K5/(WACC!$D$28-E10),E39)</f>
        <v>24534.7410363732</v>
      </c>
    </row>
    <row r="13" customFormat="false" ht="15" hidden="false" customHeight="false" outlineLevel="0" collapsed="false">
      <c r="B13" s="5" t="s">
        <v>378</v>
      </c>
      <c r="E13" s="7" t="n">
        <f aca="false">E12*J6</f>
        <v>14136.0686516184</v>
      </c>
    </row>
    <row r="14" customFormat="false" ht="15" hidden="false" customHeight="false" outlineLevel="0" collapsed="false">
      <c r="B14" s="2" t="s">
        <v>379</v>
      </c>
      <c r="E14" s="36" t="n">
        <f aca="false">E9+E13</f>
        <v>20035.3035736829</v>
      </c>
    </row>
    <row r="16" customFormat="false" ht="15" hidden="false" customHeight="false" outlineLevel="0" collapsed="false">
      <c r="B16" s="8" t="s">
        <v>380</v>
      </c>
    </row>
    <row r="17" customFormat="false" ht="15" hidden="false" customHeight="false" outlineLevel="0" collapsed="false">
      <c r="C17" s="2" t="s">
        <v>282</v>
      </c>
      <c r="D17" s="2" t="s">
        <v>381</v>
      </c>
      <c r="E17" s="2" t="s">
        <v>382</v>
      </c>
      <c r="F17" s="2" t="s">
        <v>286</v>
      </c>
      <c r="G17" s="2" t="s">
        <v>383</v>
      </c>
      <c r="H17" s="2" t="s">
        <v>384</v>
      </c>
    </row>
    <row r="18" customFormat="false" ht="15" hidden="false" customHeight="false" outlineLevel="0" collapsed="false">
      <c r="B18" s="5" t="s">
        <v>385</v>
      </c>
      <c r="C18" s="22" t="n">
        <f aca="false">Modelo!E43+Modelo!E44</f>
        <v>2000</v>
      </c>
      <c r="D18" s="7" t="n">
        <f aca="false">-C18</f>
        <v>-2000</v>
      </c>
      <c r="E18" s="3" t="s">
        <v>386</v>
      </c>
      <c r="F18" s="3" t="s">
        <v>387</v>
      </c>
      <c r="H18" s="3" t="s">
        <v>388</v>
      </c>
    </row>
    <row r="19" customFormat="false" ht="15" hidden="false" customHeight="false" outlineLevel="0" collapsed="false">
      <c r="B19" s="5" t="s">
        <v>389</v>
      </c>
      <c r="C19" s="22" t="n">
        <f aca="false">MAX(0,Modelo!E33-Modelo!F5*Supuestos!$D$67)</f>
        <v>0</v>
      </c>
      <c r="D19" s="7" t="n">
        <f aca="false">C19</f>
        <v>0</v>
      </c>
      <c r="E19" s="3" t="s">
        <v>386</v>
      </c>
      <c r="F19" s="3" t="s">
        <v>387</v>
      </c>
      <c r="H19" s="3" t="s">
        <v>390</v>
      </c>
    </row>
    <row r="20" customFormat="false" ht="15" hidden="false" customHeight="false" outlineLevel="0" collapsed="false">
      <c r="B20" s="5" t="s">
        <v>391</v>
      </c>
      <c r="C20" s="9" t="n">
        <v>0</v>
      </c>
      <c r="D20" s="7" t="n">
        <f aca="false">IF($E$20="Sí",-1*$C$20,0)</f>
        <v>0</v>
      </c>
      <c r="E20" s="15" t="s">
        <v>392</v>
      </c>
      <c r="F20" s="15" t="s">
        <v>393</v>
      </c>
      <c r="G20" s="28"/>
      <c r="H20" s="15" t="s">
        <v>394</v>
      </c>
    </row>
    <row r="21" customFormat="false" ht="15" hidden="false" customHeight="false" outlineLevel="0" collapsed="false">
      <c r="B21" s="5" t="s">
        <v>395</v>
      </c>
      <c r="C21" s="9" t="n">
        <v>0</v>
      </c>
      <c r="D21" s="7" t="n">
        <f aca="false">IF($E$21="Sí",-1*$C$21,0)</f>
        <v>0</v>
      </c>
      <c r="E21" s="15" t="s">
        <v>392</v>
      </c>
      <c r="F21" s="15" t="s">
        <v>393</v>
      </c>
      <c r="G21" s="28"/>
      <c r="H21" s="15" t="s">
        <v>394</v>
      </c>
    </row>
    <row r="22" customFormat="false" ht="15" hidden="false" customHeight="false" outlineLevel="0" collapsed="false">
      <c r="B22" s="5" t="s">
        <v>396</v>
      </c>
      <c r="C22" s="9" t="n">
        <v>0</v>
      </c>
      <c r="D22" s="7" t="n">
        <f aca="false">IF($E$22="Sí",-1*$C$22,0)</f>
        <v>0</v>
      </c>
      <c r="E22" s="15" t="s">
        <v>392</v>
      </c>
      <c r="F22" s="15" t="s">
        <v>393</v>
      </c>
      <c r="G22" s="28"/>
      <c r="H22" s="15" t="s">
        <v>394</v>
      </c>
    </row>
    <row r="23" customFormat="false" ht="15" hidden="false" customHeight="false" outlineLevel="0" collapsed="false">
      <c r="B23" s="5" t="s">
        <v>397</v>
      </c>
      <c r="C23" s="9" t="n">
        <v>0</v>
      </c>
      <c r="D23" s="7" t="n">
        <f aca="false">IF($E$23="Sí",-1*$C$23,0)</f>
        <v>0</v>
      </c>
      <c r="E23" s="15" t="s">
        <v>392</v>
      </c>
      <c r="F23" s="15" t="s">
        <v>393</v>
      </c>
      <c r="G23" s="28"/>
      <c r="H23" s="15" t="s">
        <v>394</v>
      </c>
    </row>
    <row r="24" customFormat="false" ht="15" hidden="false" customHeight="false" outlineLevel="0" collapsed="false">
      <c r="B24" s="5" t="s">
        <v>398</v>
      </c>
      <c r="C24" s="9" t="n">
        <v>0</v>
      </c>
      <c r="D24" s="7" t="n">
        <f aca="false">IF($E$24="Sí",-1*$C$24,0)</f>
        <v>0</v>
      </c>
      <c r="E24" s="15" t="s">
        <v>392</v>
      </c>
      <c r="F24" s="15" t="s">
        <v>393</v>
      </c>
      <c r="G24" s="28"/>
      <c r="H24" s="15" t="s">
        <v>394</v>
      </c>
    </row>
    <row r="25" customFormat="false" ht="15" hidden="false" customHeight="false" outlineLevel="0" collapsed="false">
      <c r="B25" s="5" t="s">
        <v>399</v>
      </c>
      <c r="C25" s="9" t="n">
        <v>0</v>
      </c>
      <c r="D25" s="7" t="n">
        <f aca="false">IF($E$25="Sí",1*$C$25,0)</f>
        <v>0</v>
      </c>
      <c r="E25" s="15" t="s">
        <v>392</v>
      </c>
      <c r="F25" s="15" t="s">
        <v>393</v>
      </c>
      <c r="G25" s="28"/>
      <c r="H25" s="15" t="s">
        <v>394</v>
      </c>
    </row>
    <row r="26" customFormat="false" ht="15" hidden="false" customHeight="false" outlineLevel="0" collapsed="false">
      <c r="B26" s="5" t="s">
        <v>400</v>
      </c>
      <c r="C26" s="9" t="n">
        <v>0</v>
      </c>
      <c r="D26" s="7" t="n">
        <f aca="false">IF($E$26="Sí",1*$C$26,0)</f>
        <v>0</v>
      </c>
      <c r="E26" s="15" t="s">
        <v>392</v>
      </c>
      <c r="F26" s="15" t="s">
        <v>393</v>
      </c>
      <c r="G26" s="28"/>
      <c r="H26" s="15" t="s">
        <v>394</v>
      </c>
    </row>
    <row r="27" customFormat="false" ht="15" hidden="false" customHeight="false" outlineLevel="0" collapsed="false">
      <c r="B27" s="5" t="s">
        <v>401</v>
      </c>
      <c r="C27" s="9" t="n">
        <v>0</v>
      </c>
      <c r="D27" s="7" t="n">
        <f aca="false">IF($E$27="Sí",1*$C$27,0)</f>
        <v>0</v>
      </c>
      <c r="E27" s="15" t="s">
        <v>392</v>
      </c>
      <c r="F27" s="15" t="s">
        <v>393</v>
      </c>
      <c r="G27" s="28"/>
      <c r="H27" s="15" t="s">
        <v>394</v>
      </c>
    </row>
    <row r="28" customFormat="false" ht="15" hidden="false" customHeight="false" outlineLevel="0" collapsed="false">
      <c r="B28" s="5" t="s">
        <v>402</v>
      </c>
      <c r="C28" s="9" t="n">
        <v>0</v>
      </c>
      <c r="D28" s="7" t="n">
        <f aca="false">IF($E$28="Sí",-1*$C$28,0)</f>
        <v>0</v>
      </c>
      <c r="E28" s="15" t="s">
        <v>392</v>
      </c>
      <c r="F28" s="15" t="s">
        <v>393</v>
      </c>
      <c r="G28" s="28"/>
      <c r="H28" s="15" t="s">
        <v>394</v>
      </c>
    </row>
    <row r="29" customFormat="false" ht="15" hidden="false" customHeight="false" outlineLevel="0" collapsed="false">
      <c r="B29" s="2" t="s">
        <v>403</v>
      </c>
      <c r="E29" s="36" t="n">
        <f aca="false">E14+SUM(D18:D28)</f>
        <v>18035.3035736829</v>
      </c>
    </row>
    <row r="30" customFormat="false" ht="15" hidden="false" customHeight="false" outlineLevel="0" collapsed="false">
      <c r="B30" s="3" t="s">
        <v>404</v>
      </c>
    </row>
    <row r="31" customFormat="false" ht="15" hidden="false" customHeight="false" outlineLevel="0" collapsed="false">
      <c r="B31" s="5" t="s">
        <v>405</v>
      </c>
      <c r="E31" s="21" t="n">
        <f aca="false">Supuestos!$D$68</f>
        <v>0</v>
      </c>
    </row>
    <row r="32" customFormat="false" ht="15" hidden="false" customHeight="false" outlineLevel="0" collapsed="false">
      <c r="B32" s="5" t="s">
        <v>406</v>
      </c>
      <c r="E32" s="10" t="n">
        <v>0</v>
      </c>
    </row>
    <row r="33" customFormat="false" ht="15" hidden="false" customHeight="false" outlineLevel="0" collapsed="false">
      <c r="B33" s="5" t="s">
        <v>407</v>
      </c>
      <c r="E33" s="7" t="n">
        <f aca="false">E29*(1-E31)*(1+E32)</f>
        <v>18035.3035736829</v>
      </c>
    </row>
    <row r="34" customFormat="false" ht="15" hidden="false" customHeight="false" outlineLevel="0" collapsed="false">
      <c r="B34" s="5" t="s">
        <v>408</v>
      </c>
      <c r="E34" s="37" t="n">
        <f aca="false">E33/Supuestos!$D$69</f>
        <v>3.60706071473657</v>
      </c>
    </row>
    <row r="35" customFormat="false" ht="15" hidden="false" customHeight="false" outlineLevel="0" collapsed="false">
      <c r="B35" s="5" t="s">
        <v>409</v>
      </c>
      <c r="E35" s="7" t="n">
        <f aca="false">E33*Supuestos!$D$7/Supuestos!$D$69</f>
        <v>3607060.71473657</v>
      </c>
    </row>
    <row r="37" customFormat="false" ht="15" hidden="false" customHeight="false" outlineLevel="0" collapsed="false">
      <c r="B37" s="8" t="s">
        <v>410</v>
      </c>
    </row>
    <row r="38" customFormat="false" ht="15" hidden="false" customHeight="false" outlineLevel="0" collapsed="false">
      <c r="B38" s="5" t="s">
        <v>411</v>
      </c>
      <c r="E38" s="7" t="n">
        <f aca="false">K5/(WACC!$D$28-E10)</f>
        <v>24534.7410363732</v>
      </c>
    </row>
    <row r="39" customFormat="false" ht="15" hidden="false" customHeight="false" outlineLevel="0" collapsed="false">
      <c r="B39" s="5" t="s">
        <v>412</v>
      </c>
      <c r="E39" s="7" t="n">
        <f aca="false">E40*(1-E10/E42)/(WACC!$D$28-E10)</f>
        <v>20112.9985443893</v>
      </c>
    </row>
    <row r="40" customFormat="false" ht="15" hidden="false" customHeight="false" outlineLevel="0" collapsed="false">
      <c r="B40" s="5" t="s">
        <v>413</v>
      </c>
      <c r="E40" s="22" t="n">
        <f aca="false">Modelo!K12*(1-Supuestos!$D$63)</f>
        <v>2344.81070423684</v>
      </c>
    </row>
    <row r="41" customFormat="false" ht="15" hidden="false" customHeight="false" outlineLevel="0" collapsed="false">
      <c r="B41" s="5" t="s">
        <v>414</v>
      </c>
      <c r="E41" s="11" t="n">
        <f aca="false">IFERROR((E40-K5)/E40,0)</f>
        <v>0.0940576069950249</v>
      </c>
    </row>
    <row r="42" customFormat="false" ht="15" hidden="false" customHeight="false" outlineLevel="0" collapsed="false">
      <c r="B42" s="5" t="s">
        <v>415</v>
      </c>
      <c r="E42" s="24" t="n">
        <f aca="false">WACC!$D$28</f>
        <v>0.11658185620915</v>
      </c>
    </row>
    <row r="43" customFormat="false" ht="15" hidden="false" customHeight="false" outlineLevel="0" collapsed="false">
      <c r="B43" s="5" t="s">
        <v>416</v>
      </c>
      <c r="E43" s="11" t="n">
        <f aca="false">IFERROR(E10/E41,0)</f>
        <v>0.318953468607668</v>
      </c>
    </row>
    <row r="44" customFormat="false" ht="15" hidden="false" customHeight="false" outlineLevel="0" collapsed="false">
      <c r="B44" s="5" t="s">
        <v>417</v>
      </c>
      <c r="E44" s="5" t="str">
        <f aca="false">IF(E43&gt;=WACC!$D$28,"OK: ROIC terminal &gt;= WACC","ALERTA: el crecimiento terminal destruye valor")</f>
        <v>OK: ROIC terminal &gt;= WACC</v>
      </c>
    </row>
    <row r="45" customFormat="false" ht="15" hidden="false" customHeight="false" outlineLevel="0" collapsed="false">
      <c r="B45" s="5" t="s">
        <v>418</v>
      </c>
      <c r="E45" s="7" t="n">
        <f aca="false">E9+E38*J6</f>
        <v>20035.3035736829</v>
      </c>
    </row>
    <row r="46" customFormat="false" ht="15" hidden="false" customHeight="false" outlineLevel="0" collapsed="false">
      <c r="B46" s="5" t="s">
        <v>419</v>
      </c>
      <c r="E46" s="7" t="n">
        <f aca="false">E9+E39*J6</f>
        <v>17487.6485838137</v>
      </c>
    </row>
    <row r="47" customFormat="false" ht="15" hidden="false" customHeight="false" outlineLevel="0" collapsed="false">
      <c r="B47" s="5" t="s">
        <v>420</v>
      </c>
      <c r="E47" s="22" t="n">
        <f aca="false">E40*E10/E42+CAPEX!K17-KTNO!K10</f>
        <v>1035.06489485706</v>
      </c>
      <c r="F47" s="22" t="n">
        <f aca="false">CAPEX!K7</f>
        <v>652.222222222222</v>
      </c>
      <c r="G47" s="7" t="n">
        <f aca="false">E47-F47</f>
        <v>382.842672634842</v>
      </c>
    </row>
    <row r="49" customFormat="false" ht="15" hidden="false" customHeight="false" outlineLevel="0" collapsed="false">
      <c r="B49" s="8" t="s">
        <v>421</v>
      </c>
      <c r="E49" s="38" t="n">
        <f aca="false">IFERROR(E14/Modelo!F10,"—")</f>
        <v>7.38710403867077</v>
      </c>
      <c r="F49" s="38" t="n">
        <f aca="false">IFERROR(E14/Modelo!F5,"—")</f>
        <v>0.458683689873692</v>
      </c>
    </row>
  </sheetData>
  <sheetProtection sheet="true"/>
  <dataValidations count="4">
    <dataValidation allowBlank="true" error="Solo Sí o No" errorStyle="stop" errorTitle="Entrada inválida" operator="between" prompt="Sí incorpora la partida al puente" promptTitle="Aplica" showDropDown="false" showErrorMessage="true" showInputMessage="true" sqref="E20:E28" type="list">
      <formula1>"Sí,No"</formula1>
      <formula2>0</formula2>
    </dataValidation>
    <dataValidation allowBlank="true" error="Valor no negativo" errorStyle="stop" errorTitle="Entrada inválida" operator="greaterThanOrEqual" prompt="Magnitud de la partida (el signo lo pone la fila)" promptTitle="Valor" showDropDown="false" showErrorMessage="true" showInputMessage="true" sqref="C20:C28" type="decimal">
      <formula1>0</formula1>
      <formula2>0</formula2>
    </dataValidation>
    <dataValidation allowBlank="true" error="Fecha inválida" errorStyle="stop" errorTitle="Entrada inválida" operator="between" prompt="Fecha del dato de la partida" promptTitle="Fecha" showDropDown="false" showErrorMessage="true" showInputMessage="true" sqref="G20:G28" type="date">
      <formula1>DATE(2000,1,1)</formula1>
      <formula2>DATE(2100,12,31)</formula2>
    </dataValidation>
    <dataValidation allowBlank="true" error="Rango 0%-50%" errorStyle="stop" errorTitle="Entrada inválida" operator="between" prompt="Solo con justificación del nivel de valor (0%-50%)" promptTitle="Prima de control" showDropDown="false" showErrorMessage="true" showInputMessage="true" sqref="E32" type="decimal">
      <formula1>0</formula1>
      <formula2>0.5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C2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22"/>
    <col collapsed="false" customWidth="true" hidden="false" outlineLevel="0" max="3" min="3" style="0" width="9"/>
    <col collapsed="false" customWidth="true" hidden="false" outlineLevel="0" max="4" min="4" style="0" width="10"/>
    <col collapsed="false" customWidth="true" hidden="false" outlineLevel="0" max="5" min="5" style="0" width="9"/>
    <col collapsed="false" customWidth="true" hidden="false" outlineLevel="0" max="6" min="6" style="0" width="12"/>
    <col collapsed="false" customWidth="true" hidden="false" outlineLevel="0" max="7" min="7" style="0" width="14"/>
    <col collapsed="false" customWidth="true" hidden="false" outlineLevel="0" max="8" min="8" style="0" width="7"/>
    <col collapsed="false" customWidth="true" hidden="false" outlineLevel="0" max="9" min="9" style="0" width="10"/>
    <col collapsed="false" customWidth="true" hidden="false" outlineLevel="0" max="10" min="10" style="0" width="11"/>
    <col collapsed="false" customWidth="true" hidden="false" outlineLevel="0" max="17" min="11" style="0" width="10"/>
    <col collapsed="false" customWidth="true" hidden="false" outlineLevel="0" max="18" min="18" style="0" width="9"/>
    <col collapsed="false" customWidth="true" hidden="false" outlineLevel="0" max="19" min="19" style="0" width="10"/>
    <col collapsed="false" customWidth="true" hidden="false" outlineLevel="0" max="21" min="20" style="0" width="8"/>
    <col collapsed="false" customWidth="true" hidden="false" outlineLevel="0" max="23" min="22" style="0" width="10"/>
    <col collapsed="false" customWidth="true" hidden="false" outlineLevel="0" max="24" min="24" style="0" width="8"/>
    <col collapsed="false" customWidth="true" hidden="false" outlineLevel="0" max="25" min="25" style="0" width="30"/>
    <col collapsed="false" customWidth="true" hidden="false" outlineLevel="0" max="29" min="27" style="0" width="8"/>
  </cols>
  <sheetData>
    <row r="2" customFormat="false" ht="15" hidden="false" customHeight="false" outlineLevel="0" collapsed="false">
      <c r="B2" s="1" t="s">
        <v>422</v>
      </c>
    </row>
    <row r="3" customFormat="false" ht="15" hidden="false" customHeight="false" outlineLevel="0" collapsed="false">
      <c r="B3" s="3" t="s">
        <v>423</v>
      </c>
    </row>
    <row r="5" customFormat="false" ht="15" hidden="false" customHeight="false" outlineLevel="0" collapsed="false">
      <c r="B5" s="2" t="s">
        <v>424</v>
      </c>
      <c r="C5" s="2" t="s">
        <v>425</v>
      </c>
      <c r="D5" s="2" t="s">
        <v>426</v>
      </c>
      <c r="E5" s="2" t="s">
        <v>427</v>
      </c>
      <c r="F5" s="2" t="s">
        <v>428</v>
      </c>
      <c r="G5" s="2" t="s">
        <v>286</v>
      </c>
      <c r="H5" s="2" t="s">
        <v>32</v>
      </c>
      <c r="I5" s="2" t="s">
        <v>429</v>
      </c>
      <c r="J5" s="2" t="s">
        <v>430</v>
      </c>
      <c r="K5" s="2" t="s">
        <v>431</v>
      </c>
      <c r="L5" s="2" t="s">
        <v>432</v>
      </c>
      <c r="M5" s="2" t="s">
        <v>203</v>
      </c>
      <c r="N5" s="2" t="s">
        <v>433</v>
      </c>
      <c r="O5" s="2" t="s">
        <v>434</v>
      </c>
      <c r="P5" s="2" t="s">
        <v>435</v>
      </c>
      <c r="Q5" s="2" t="s">
        <v>436</v>
      </c>
      <c r="R5" s="2" t="s">
        <v>437</v>
      </c>
      <c r="S5" s="2" t="s">
        <v>438</v>
      </c>
      <c r="T5" s="2" t="s">
        <v>439</v>
      </c>
      <c r="U5" s="2" t="s">
        <v>440</v>
      </c>
      <c r="V5" s="2" t="s">
        <v>441</v>
      </c>
      <c r="W5" s="2" t="s">
        <v>442</v>
      </c>
      <c r="X5" s="2" t="s">
        <v>443</v>
      </c>
      <c r="Y5" s="2" t="s">
        <v>444</v>
      </c>
      <c r="AA5" s="2" t="s">
        <v>445</v>
      </c>
      <c r="AB5" s="2" t="s">
        <v>446</v>
      </c>
      <c r="AC5" s="2" t="s">
        <v>447</v>
      </c>
    </row>
    <row r="6" customFormat="false" ht="15" hidden="false" customHeight="false" outlineLevel="0" collapsed="false">
      <c r="B6" s="15"/>
      <c r="C6" s="15"/>
      <c r="D6" s="15"/>
      <c r="E6" s="15"/>
      <c r="F6" s="28"/>
      <c r="G6" s="15"/>
      <c r="H6" s="15"/>
      <c r="I6" s="9"/>
      <c r="J6" s="9"/>
      <c r="K6" s="9"/>
      <c r="L6" s="9"/>
      <c r="M6" s="9"/>
      <c r="N6" s="9"/>
      <c r="O6" s="9"/>
      <c r="P6" s="9"/>
      <c r="Q6" s="38" t="str">
        <f aca="false">IF(AND(ISNUMBER($I6),ISNUMBER($N6)),IF($N6&gt;0,$I6/$N6,"N/M"),"")</f>
        <v/>
      </c>
      <c r="R6" s="38" t="str">
        <f aca="false">IF(AND(ISNUMBER($I6),ISNUMBER($O6)),IF($O6&gt;0,$I6/$O6,"N/M"),"")</f>
        <v/>
      </c>
      <c r="S6" s="38" t="str">
        <f aca="false">IF(AND(ISNUMBER($I6),ISNUMBER($M6)),IF($M6&gt;0,$I6/$M6,"N/M"),"")</f>
        <v/>
      </c>
      <c r="T6" s="38" t="str">
        <f aca="false">IF(AND(ISNUMBER($J6),ISNUMBER($P6)),IF($P6&gt;0,$J6/$P6,"N/M"),"")</f>
        <v/>
      </c>
      <c r="U6" s="10"/>
      <c r="V6" s="11" t="str">
        <f aca="false">IF(AND(ISNUMBER($N6),ISNUMBER($M6)),IF($M6&gt;0,$N6/$M6,"N/M"),"")</f>
        <v/>
      </c>
      <c r="W6" s="38" t="str">
        <f aca="false">IF(AND(ISNUMBER($K6),ISNUMBER($N6)),IF($N6&gt;0,$K6/$N6,"N/M"),"")</f>
        <v/>
      </c>
      <c r="X6" s="15"/>
      <c r="Y6" s="15"/>
      <c r="AA6" s="38" t="str">
        <f aca="false">IF(AND($X6="Sí",ISNUMBER(Q6)),Q6,"")</f>
        <v/>
      </c>
      <c r="AB6" s="38" t="str">
        <f aca="false">IF(AND($X6="Sí",ISNUMBER(S6)),S6,"")</f>
        <v/>
      </c>
      <c r="AC6" s="38" t="str">
        <f aca="false">IF(AND($X6="Sí",ISNUMBER(T6)),T6,"")</f>
        <v/>
      </c>
    </row>
    <row r="7" customFormat="false" ht="15" hidden="false" customHeight="false" outlineLevel="0" collapsed="false">
      <c r="B7" s="15"/>
      <c r="C7" s="15"/>
      <c r="D7" s="15"/>
      <c r="E7" s="15"/>
      <c r="F7" s="28"/>
      <c r="G7" s="15"/>
      <c r="H7" s="15"/>
      <c r="I7" s="9"/>
      <c r="J7" s="9"/>
      <c r="K7" s="9"/>
      <c r="L7" s="9"/>
      <c r="M7" s="9"/>
      <c r="N7" s="9"/>
      <c r="O7" s="9"/>
      <c r="P7" s="9"/>
      <c r="Q7" s="38" t="str">
        <f aca="false">IF(AND(ISNUMBER($I7),ISNUMBER($N7)),IF($N7&gt;0,$I7/$N7,"N/M"),"")</f>
        <v/>
      </c>
      <c r="R7" s="38" t="str">
        <f aca="false">IF(AND(ISNUMBER($I7),ISNUMBER($O7)),IF($O7&gt;0,$I7/$O7,"N/M"),"")</f>
        <v/>
      </c>
      <c r="S7" s="38" t="str">
        <f aca="false">IF(AND(ISNUMBER($I7),ISNUMBER($M7)),IF($M7&gt;0,$I7/$M7,"N/M"),"")</f>
        <v/>
      </c>
      <c r="T7" s="38" t="str">
        <f aca="false">IF(AND(ISNUMBER($J7),ISNUMBER($P7)),IF($P7&gt;0,$J7/$P7,"N/M"),"")</f>
        <v/>
      </c>
      <c r="U7" s="10"/>
      <c r="V7" s="11" t="str">
        <f aca="false">IF(AND(ISNUMBER($N7),ISNUMBER($M7)),IF($M7&gt;0,$N7/$M7,"N/M"),"")</f>
        <v/>
      </c>
      <c r="W7" s="38" t="str">
        <f aca="false">IF(AND(ISNUMBER($K7),ISNUMBER($N7)),IF($N7&gt;0,$K7/$N7,"N/M"),"")</f>
        <v/>
      </c>
      <c r="X7" s="15"/>
      <c r="Y7" s="15"/>
      <c r="AA7" s="38" t="str">
        <f aca="false">IF(AND($X7="Sí",ISNUMBER(Q7)),Q7,"")</f>
        <v/>
      </c>
      <c r="AB7" s="38" t="str">
        <f aca="false">IF(AND($X7="Sí",ISNUMBER(S7)),S7,"")</f>
        <v/>
      </c>
      <c r="AC7" s="38" t="str">
        <f aca="false">IF(AND($X7="Sí",ISNUMBER(T7)),T7,"")</f>
        <v/>
      </c>
    </row>
    <row r="8" customFormat="false" ht="15" hidden="false" customHeight="false" outlineLevel="0" collapsed="false">
      <c r="B8" s="15"/>
      <c r="C8" s="15"/>
      <c r="D8" s="15"/>
      <c r="E8" s="15"/>
      <c r="F8" s="28"/>
      <c r="G8" s="15"/>
      <c r="H8" s="15"/>
      <c r="I8" s="9"/>
      <c r="J8" s="9"/>
      <c r="K8" s="9"/>
      <c r="L8" s="9"/>
      <c r="M8" s="9"/>
      <c r="N8" s="9"/>
      <c r="O8" s="9"/>
      <c r="P8" s="9"/>
      <c r="Q8" s="38" t="str">
        <f aca="false">IF(AND(ISNUMBER($I8),ISNUMBER($N8)),IF($N8&gt;0,$I8/$N8,"N/M"),"")</f>
        <v/>
      </c>
      <c r="R8" s="38" t="str">
        <f aca="false">IF(AND(ISNUMBER($I8),ISNUMBER($O8)),IF($O8&gt;0,$I8/$O8,"N/M"),"")</f>
        <v/>
      </c>
      <c r="S8" s="38" t="str">
        <f aca="false">IF(AND(ISNUMBER($I8),ISNUMBER($M8)),IF($M8&gt;0,$I8/$M8,"N/M"),"")</f>
        <v/>
      </c>
      <c r="T8" s="38" t="str">
        <f aca="false">IF(AND(ISNUMBER($J8),ISNUMBER($P8)),IF($P8&gt;0,$J8/$P8,"N/M"),"")</f>
        <v/>
      </c>
      <c r="U8" s="10"/>
      <c r="V8" s="11" t="str">
        <f aca="false">IF(AND(ISNUMBER($N8),ISNUMBER($M8)),IF($M8&gt;0,$N8/$M8,"N/M"),"")</f>
        <v/>
      </c>
      <c r="W8" s="38" t="str">
        <f aca="false">IF(AND(ISNUMBER($K8),ISNUMBER($N8)),IF($N8&gt;0,$K8/$N8,"N/M"),"")</f>
        <v/>
      </c>
      <c r="X8" s="15"/>
      <c r="Y8" s="15"/>
      <c r="AA8" s="38" t="str">
        <f aca="false">IF(AND($X8="Sí",ISNUMBER(Q8)),Q8,"")</f>
        <v/>
      </c>
      <c r="AB8" s="38" t="str">
        <f aca="false">IF(AND($X8="Sí",ISNUMBER(S8)),S8,"")</f>
        <v/>
      </c>
      <c r="AC8" s="38" t="str">
        <f aca="false">IF(AND($X8="Sí",ISNUMBER(T8)),T8,"")</f>
        <v/>
      </c>
    </row>
    <row r="9" customFormat="false" ht="15" hidden="false" customHeight="false" outlineLevel="0" collapsed="false">
      <c r="B9" s="15"/>
      <c r="C9" s="15"/>
      <c r="D9" s="15"/>
      <c r="E9" s="15"/>
      <c r="F9" s="28"/>
      <c r="G9" s="15"/>
      <c r="H9" s="15"/>
      <c r="I9" s="9"/>
      <c r="J9" s="9"/>
      <c r="K9" s="9"/>
      <c r="L9" s="9"/>
      <c r="M9" s="9"/>
      <c r="N9" s="9"/>
      <c r="O9" s="9"/>
      <c r="P9" s="9"/>
      <c r="Q9" s="38" t="str">
        <f aca="false">IF(AND(ISNUMBER($I9),ISNUMBER($N9)),IF($N9&gt;0,$I9/$N9,"N/M"),"")</f>
        <v/>
      </c>
      <c r="R9" s="38" t="str">
        <f aca="false">IF(AND(ISNUMBER($I9),ISNUMBER($O9)),IF($O9&gt;0,$I9/$O9,"N/M"),"")</f>
        <v/>
      </c>
      <c r="S9" s="38" t="str">
        <f aca="false">IF(AND(ISNUMBER($I9),ISNUMBER($M9)),IF($M9&gt;0,$I9/$M9,"N/M"),"")</f>
        <v/>
      </c>
      <c r="T9" s="38" t="str">
        <f aca="false">IF(AND(ISNUMBER($J9),ISNUMBER($P9)),IF($P9&gt;0,$J9/$P9,"N/M"),"")</f>
        <v/>
      </c>
      <c r="U9" s="10"/>
      <c r="V9" s="11" t="str">
        <f aca="false">IF(AND(ISNUMBER($N9),ISNUMBER($M9)),IF($M9&gt;0,$N9/$M9,"N/M"),"")</f>
        <v/>
      </c>
      <c r="W9" s="38" t="str">
        <f aca="false">IF(AND(ISNUMBER($K9),ISNUMBER($N9)),IF($N9&gt;0,$K9/$N9,"N/M"),"")</f>
        <v/>
      </c>
      <c r="X9" s="15"/>
      <c r="Y9" s="15"/>
      <c r="AA9" s="38" t="str">
        <f aca="false">IF(AND($X9="Sí",ISNUMBER(Q9)),Q9,"")</f>
        <v/>
      </c>
      <c r="AB9" s="38" t="str">
        <f aca="false">IF(AND($X9="Sí",ISNUMBER(S9)),S9,"")</f>
        <v/>
      </c>
      <c r="AC9" s="38" t="str">
        <f aca="false">IF(AND($X9="Sí",ISNUMBER(T9)),T9,"")</f>
        <v/>
      </c>
    </row>
    <row r="10" customFormat="false" ht="15" hidden="false" customHeight="false" outlineLevel="0" collapsed="false">
      <c r="B10" s="15"/>
      <c r="C10" s="15"/>
      <c r="D10" s="15"/>
      <c r="E10" s="15"/>
      <c r="F10" s="28"/>
      <c r="G10" s="15"/>
      <c r="H10" s="15"/>
      <c r="I10" s="9"/>
      <c r="J10" s="9"/>
      <c r="K10" s="9"/>
      <c r="L10" s="9"/>
      <c r="M10" s="9"/>
      <c r="N10" s="9"/>
      <c r="O10" s="9"/>
      <c r="P10" s="9"/>
      <c r="Q10" s="38" t="str">
        <f aca="false">IF(AND(ISNUMBER($I10),ISNUMBER($N10)),IF($N10&gt;0,$I10/$N10,"N/M"),"")</f>
        <v/>
      </c>
      <c r="R10" s="38" t="str">
        <f aca="false">IF(AND(ISNUMBER($I10),ISNUMBER($O10)),IF($O10&gt;0,$I10/$O10,"N/M"),"")</f>
        <v/>
      </c>
      <c r="S10" s="38" t="str">
        <f aca="false">IF(AND(ISNUMBER($I10),ISNUMBER($M10)),IF($M10&gt;0,$I10/$M10,"N/M"),"")</f>
        <v/>
      </c>
      <c r="T10" s="38" t="str">
        <f aca="false">IF(AND(ISNUMBER($J10),ISNUMBER($P10)),IF($P10&gt;0,$J10/$P10,"N/M"),"")</f>
        <v/>
      </c>
      <c r="U10" s="10"/>
      <c r="V10" s="11" t="str">
        <f aca="false">IF(AND(ISNUMBER($N10),ISNUMBER($M10)),IF($M10&gt;0,$N10/$M10,"N/M"),"")</f>
        <v/>
      </c>
      <c r="W10" s="38" t="str">
        <f aca="false">IF(AND(ISNUMBER($K10),ISNUMBER($N10)),IF($N10&gt;0,$K10/$N10,"N/M"),"")</f>
        <v/>
      </c>
      <c r="X10" s="15"/>
      <c r="Y10" s="15"/>
      <c r="AA10" s="38" t="str">
        <f aca="false">IF(AND($X10="Sí",ISNUMBER(Q10)),Q10,"")</f>
        <v/>
      </c>
      <c r="AB10" s="38" t="str">
        <f aca="false">IF(AND($X10="Sí",ISNUMBER(S10)),S10,"")</f>
        <v/>
      </c>
      <c r="AC10" s="38" t="str">
        <f aca="false">IF(AND($X10="Sí",ISNUMBER(T10)),T10,"")</f>
        <v/>
      </c>
    </row>
    <row r="12" customFormat="false" ht="15" hidden="false" customHeight="false" outlineLevel="0" collapsed="false">
      <c r="B12" s="5" t="s">
        <v>448</v>
      </c>
      <c r="Q12" s="38" t="str">
        <f aca="false">IFERROR(MEDIAN(AA6:AA10),"—")</f>
        <v>—</v>
      </c>
      <c r="S12" s="38" t="str">
        <f aca="false">IFERROR(MEDIAN(AB6:AB10),"—")</f>
        <v>—</v>
      </c>
      <c r="T12" s="38" t="str">
        <f aca="false">IFERROR(MEDIAN(AC6:AC10),"—")</f>
        <v>—</v>
      </c>
    </row>
    <row r="13" customFormat="false" ht="15" hidden="false" customHeight="false" outlineLevel="0" collapsed="false">
      <c r="B13" s="5" t="s">
        <v>449</v>
      </c>
      <c r="C13" s="12" t="n">
        <f aca="false">COUNT(AA6:AA10)</f>
        <v>0</v>
      </c>
    </row>
    <row r="15" customFormat="false" ht="15" hidden="false" customHeight="false" outlineLevel="0" collapsed="false">
      <c r="B15" s="8" t="s">
        <v>450</v>
      </c>
    </row>
    <row r="16" customFormat="false" ht="15" hidden="false" customHeight="false" outlineLevel="0" collapsed="false">
      <c r="C16" s="2" t="s">
        <v>451</v>
      </c>
      <c r="D16" s="2" t="s">
        <v>452</v>
      </c>
      <c r="E16" s="2" t="s">
        <v>453</v>
      </c>
      <c r="F16" s="2" t="s">
        <v>454</v>
      </c>
    </row>
    <row r="17" customFormat="false" ht="15" hidden="false" customHeight="false" outlineLevel="0" collapsed="false">
      <c r="B17" s="5" t="s">
        <v>455</v>
      </c>
      <c r="C17" s="22" t="n">
        <f aca="false">Valoracion!$E$14</f>
        <v>20035.3035736829</v>
      </c>
      <c r="D17" s="10" t="n">
        <v>0.6</v>
      </c>
      <c r="E17" s="12" t="n">
        <v>1</v>
      </c>
      <c r="F17" s="11" t="n">
        <f aca="false">D17*E17/SUMPRODUCT($D$17:$D$18,$E$17:$E$18)</f>
        <v>1</v>
      </c>
    </row>
    <row r="18" customFormat="false" ht="15" hidden="false" customHeight="false" outlineLevel="0" collapsed="false">
      <c r="B18" s="5" t="s">
        <v>456</v>
      </c>
      <c r="C18" s="7" t="n">
        <f aca="false">IFERROR(MEDIAN(AA6:AA10)*Modelo!F10,0)</f>
        <v>0</v>
      </c>
      <c r="D18" s="10" t="n">
        <v>0.4</v>
      </c>
      <c r="E18" s="12" t="n">
        <f aca="false">IF(COUNT(AA6:AA10)&gt;0,1,0)</f>
        <v>0</v>
      </c>
      <c r="F18" s="11" t="n">
        <f aca="false">D18*E18/SUMPRODUCT($D$17:$D$18,$E$17:$E$18)</f>
        <v>0</v>
      </c>
    </row>
    <row r="19" customFormat="false" ht="15" hidden="false" customHeight="false" outlineLevel="0" collapsed="false">
      <c r="B19" s="5" t="s">
        <v>457</v>
      </c>
      <c r="F19" s="11" t="n">
        <f aca="false">F17+F18</f>
        <v>1</v>
      </c>
    </row>
    <row r="20" customFormat="false" ht="15" hidden="false" customHeight="false" outlineLevel="0" collapsed="false">
      <c r="B20" s="2" t="str">
        <f aca="false">IF(E18=1,"(=) EV TRIANGULADO","(=) EV — RESULTADO 100% DCF (sin una segunda metodología con datos reales no hay triangulación)")</f>
        <v>(=) EV — RESULTADO 100% DCF (sin una segunda metodología con datos reales no hay triangulación)</v>
      </c>
      <c r="C20" s="36" t="n">
        <f aca="false">C17*F17+C18*F18</f>
        <v>20035.3035736829</v>
      </c>
    </row>
    <row r="22" customFormat="false" ht="15" hidden="false" customHeight="false" outlineLevel="0" collapsed="false">
      <c r="B22" s="3" t="s">
        <v>458</v>
      </c>
    </row>
  </sheetData>
  <sheetProtection sheet="true"/>
  <dataValidations count="6">
    <dataValidation allowBlank="true" error="Elegir de la lista" errorStyle="stop" errorTitle="Entrada inválida" operator="between" prompt="Moneda de las cifras del comparable" promptTitle="Moneda" showDropDown="false" showErrorMessage="true" showInputMessage="true" sqref="E6:E10" type="list">
      <formula1>"COP,USD,EUR,Otra"</formula1>
      <formula2>0</formula2>
    </dataValidation>
    <dataValidation allowBlank="true" error="Solo LTM o NTM" errorStyle="stop" errorTitle="Entrada inválida" operator="between" prompt="LTM = últimos 12 meses · NTM = próximos 12" promptTitle="Base" showDropDown="false" showErrorMessage="true" showInputMessage="true" sqref="H6:H10" type="list">
      <formula1>"LTM,NTM"</formula1>
      <formula2>0</formula2>
    </dataValidation>
    <dataValidation allowBlank="true" error="Solo Sí o No" errorStyle="stop" errorTitle="Entrada inválida" operator="between" prompt="No excluye el comparable (outlier o no comparable) y exige justificación" promptTitle="Incluir" showDropDown="false" showErrorMessage="true" showInputMessage="true" sqref="X6:X10" type="list">
      <formula1>"Sí,No"</formula1>
      <formula2>0</formula2>
    </dataValidation>
    <dataValidation allowBlank="true" error="Fecha inválida" errorStyle="stop" errorTitle="Entrada inválida" operator="between" prompt="Fecha de las cifras de mercado" promptTitle="Fecha de mercado" showDropDown="false" showErrorMessage="true" showInputMessage="true" sqref="F6:F10" type="date">
      <formula1>DATE(2000,1,1)</formula1>
      <formula2>DATE(2100,12,31)</formula2>
    </dataValidation>
    <dataValidation allowBlank="true" error="Cifra no negativa" errorStyle="stop" errorTitle="Entrada inválida" operator="greaterThanOrEqual" prompt="Valores no negativos en la moneda elegida" promptTitle="Cifra" showDropDown="false" showErrorMessage="true" showInputMessage="true" sqref="I6:P10" type="decimal">
      <formula1>0</formula1>
      <formula2>0</formula2>
    </dataValidation>
    <dataValidation allowBlank="true" error="Fuera de rango" errorStyle="stop" errorTitle="Entrada inválida" operator="between" prompt="Crecimiento esperado (-100% a 500%)" promptTitle="Crecimiento" showDropDown="false" showErrorMessage="true" showInputMessage="true" sqref="U6:U10" type="decimal">
      <formula1>-1</formula1>
      <formula2>5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4" topLeftCell="E5" activePane="bottomRight" state="frozen"/>
      <selection pane="topLeft" activeCell="A1" activeCellId="0" sqref="A1"/>
      <selection pane="topRight" activeCell="E1" activeCellId="0" sqref="E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6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11" min="5" style="0" width="12.5"/>
  </cols>
  <sheetData>
    <row r="2" customFormat="false" ht="15" hidden="false" customHeight="false" outlineLevel="0" collapsed="false">
      <c r="B2" s="1" t="s">
        <v>459</v>
      </c>
    </row>
    <row r="3" customFormat="false" ht="15" hidden="false" customHeight="false" outlineLevel="0" collapsed="false">
      <c r="B3" s="19" t="str">
        <f aca="false">CONCATENATE("Cifras en: ",Supuestos!$D$6)</f>
        <v>Cifras en: Millones de COP</v>
      </c>
    </row>
    <row r="4" customFormat="false" ht="15" hidden="false" customHeight="false" outlineLevel="0" collapsed="false">
      <c r="C4" s="2" t="s">
        <v>123</v>
      </c>
      <c r="D4" s="2" t="s">
        <v>124</v>
      </c>
      <c r="E4" s="20" t="s">
        <v>125</v>
      </c>
      <c r="F4" s="20" t="s">
        <v>126</v>
      </c>
      <c r="G4" s="20" t="s">
        <v>127</v>
      </c>
      <c r="H4" s="20" t="s">
        <v>128</v>
      </c>
      <c r="I4" s="20" t="s">
        <v>129</v>
      </c>
      <c r="J4" s="20" t="s">
        <v>130</v>
      </c>
      <c r="K4" s="20" t="s">
        <v>131</v>
      </c>
    </row>
    <row r="5" customFormat="false" ht="15" hidden="false" customHeight="false" outlineLevel="0" collapsed="false">
      <c r="B5" s="5" t="s">
        <v>460</v>
      </c>
      <c r="C5" s="3" t="s">
        <v>60</v>
      </c>
      <c r="E5" s="11" t="n">
        <f aca="false">IFERROR(Modelo!E10/Modelo!E5,"N/M")</f>
        <v>0.06125</v>
      </c>
      <c r="F5" s="11" t="n">
        <f aca="false">IFERROR(Modelo!F10/Modelo!F5,"N/M")</f>
        <v>0.0620924908424908</v>
      </c>
      <c r="G5" s="11" t="n">
        <f aca="false">IFERROR(Modelo!G10/Modelo!G5,"N/M")</f>
        <v>0.0629102933086449</v>
      </c>
      <c r="H5" s="11" t="n">
        <f aca="false">IFERROR(Modelo!H10/Modelo!H5,"N/M")</f>
        <v>0.0637041308673659</v>
      </c>
      <c r="I5" s="11" t="n">
        <f aca="false">IFERROR(Modelo!I10/Modelo!I5,"N/M")</f>
        <v>0.0644747057870037</v>
      </c>
      <c r="J5" s="11" t="n">
        <f aca="false">IFERROR(Modelo!J10/Modelo!J5,"N/M")</f>
        <v>0.0652226997566152</v>
      </c>
      <c r="K5" s="11" t="n">
        <f aca="false">IFERROR(Modelo!K10/Modelo!K5,"N/M")</f>
        <v>0.0652226997566152</v>
      </c>
    </row>
    <row r="6" customFormat="false" ht="15" hidden="false" customHeight="false" outlineLevel="0" collapsed="false">
      <c r="B6" s="5" t="s">
        <v>461</v>
      </c>
      <c r="C6" s="3" t="s">
        <v>60</v>
      </c>
      <c r="E6" s="11" t="n">
        <f aca="false">IFERROR(Modelo!E16/Modelo!E5,"N/M")</f>
        <v>0.0352625</v>
      </c>
      <c r="F6" s="11" t="n">
        <f aca="false">IFERROR(Modelo!F16/Modelo!F5,"N/M")</f>
        <v>0.0311339285714286</v>
      </c>
      <c r="G6" s="11" t="n">
        <f aca="false">IFERROR(Modelo!G16/Modelo!G5,"N/M")</f>
        <v>0.0326608342054771</v>
      </c>
      <c r="H6" s="11" t="n">
        <f aca="false">IFERROR(Modelo!H16/Modelo!H5,"N/M")</f>
        <v>0.0340699373414247</v>
      </c>
      <c r="I6" s="11" t="n">
        <f aca="false">IFERROR(Modelo!I16/Modelo!I5,"N/M")</f>
        <v>0.0353718544413391</v>
      </c>
      <c r="J6" s="11" t="n">
        <f aca="false">IFERROR(Modelo!J16/Modelo!J5,"N/M")</f>
        <v>0.0365762022372913</v>
      </c>
      <c r="K6" s="11" t="n">
        <f aca="false">IFERROR(Modelo!K16/Modelo!K5,"N/M")</f>
        <v>0.036651974871769</v>
      </c>
    </row>
    <row r="7" customFormat="false" ht="15" hidden="false" customHeight="false" outlineLevel="0" collapsed="false">
      <c r="B7" s="5" t="s">
        <v>462</v>
      </c>
      <c r="C7" s="3" t="s">
        <v>37</v>
      </c>
      <c r="E7" s="7" t="n">
        <f aca="false">MAX(0,Modelo!E33-Modelo!E5*Supuestos!$D$67)</f>
        <v>0</v>
      </c>
      <c r="F7" s="7" t="n">
        <f aca="false">MAX(0,Modelo!F33-Modelo!F5*Supuestos!$D$67)</f>
        <v>143.665969224996</v>
      </c>
      <c r="G7" s="7" t="n">
        <f aca="false">MAX(0,Modelo!G33-Modelo!G5*Supuestos!$D$67)</f>
        <v>621.814257571777</v>
      </c>
      <c r="H7" s="7" t="n">
        <f aca="false">MAX(0,Modelo!H33-Modelo!H5*Supuestos!$D$67)</f>
        <v>1274.44250844646</v>
      </c>
      <c r="I7" s="7" t="n">
        <f aca="false">MAX(0,Modelo!I33-Modelo!I5*Supuestos!$D$67)</f>
        <v>2114.45846560162</v>
      </c>
      <c r="J7" s="7" t="n">
        <f aca="false">MAX(0,Modelo!J33-Modelo!J5*Supuestos!$D$67)</f>
        <v>3156.02970604705</v>
      </c>
      <c r="K7" s="7" t="n">
        <f aca="false">MAX(0,Modelo!K33-Modelo!K5*Supuestos!$D$67)</f>
        <v>4582.15863529644</v>
      </c>
    </row>
    <row r="8" customFormat="false" ht="15" hidden="false" customHeight="false" outlineLevel="0" collapsed="false">
      <c r="B8" s="5" t="s">
        <v>463</v>
      </c>
      <c r="C8" s="3" t="s">
        <v>37</v>
      </c>
      <c r="E8" s="7" t="n">
        <f aca="false">Modelo!E54+Modelo!E53-E7</f>
        <v>5829.54109589041</v>
      </c>
      <c r="F8" s="7" t="n">
        <f aca="false">Modelo!F54+Modelo!F53-F7</f>
        <v>6222.65512666542</v>
      </c>
      <c r="G8" s="7" t="n">
        <f aca="false">Modelo!G54+Modelo!G53-G7</f>
        <v>6494.40259831864</v>
      </c>
      <c r="H8" s="7" t="n">
        <f aca="false">Modelo!H54+Modelo!H53-H7</f>
        <v>6749.00686936395</v>
      </c>
      <c r="I8" s="7" t="n">
        <f aca="false">Modelo!I54+Modelo!I53-I7</f>
        <v>6988.52161526543</v>
      </c>
      <c r="J8" s="7" t="n">
        <f aca="false">Modelo!J54+Modelo!J53-J7</f>
        <v>7215.18650062505</v>
      </c>
      <c r="K8" s="7" t="n">
        <f aca="false">Modelo!K54+Modelo!K53-K7</f>
        <v>7452.32561094806</v>
      </c>
    </row>
    <row r="9" customFormat="false" ht="15" hidden="false" customHeight="false" outlineLevel="0" collapsed="false">
      <c r="B9" s="5" t="s">
        <v>464</v>
      </c>
      <c r="C9" s="3" t="s">
        <v>37</v>
      </c>
      <c r="F9" s="7" t="n">
        <f aca="false">(E8+F8)/2</f>
        <v>6026.09811127791</v>
      </c>
      <c r="G9" s="7" t="n">
        <f aca="false">(F8+G8)/2</f>
        <v>6358.52886249203</v>
      </c>
      <c r="H9" s="7" t="n">
        <f aca="false">(G8+H8)/2</f>
        <v>6621.70473384129</v>
      </c>
      <c r="I9" s="7" t="n">
        <f aca="false">(H8+I8)/2</f>
        <v>6868.76424231469</v>
      </c>
      <c r="J9" s="7" t="n">
        <f aca="false">(I8+J8)/2</f>
        <v>7101.85405794524</v>
      </c>
      <c r="K9" s="7" t="n">
        <f aca="false">(J8+K8)/2</f>
        <v>7333.75605578655</v>
      </c>
    </row>
    <row r="10" customFormat="false" ht="15" hidden="false" customHeight="false" outlineLevel="0" collapsed="false">
      <c r="B10" s="5" t="s">
        <v>465</v>
      </c>
      <c r="C10" s="3" t="s">
        <v>60</v>
      </c>
      <c r="F10" s="11" t="n">
        <f aca="false">IFERROR(Modelo!F12*(1-Supuestos!$D$63)/F9,"N/M")</f>
        <v>0.255875356080622</v>
      </c>
      <c r="G10" s="11" t="n">
        <f aca="false">IFERROR(Modelo!G12*(1-Supuestos!$D$63)/G9,"N/M")</f>
        <v>0.26790391249909</v>
      </c>
      <c r="H10" s="11" t="n">
        <f aca="false">IFERROR(Modelo!H12*(1-Supuestos!$D$63)/H9,"N/M")</f>
        <v>0.284487911442587</v>
      </c>
      <c r="I10" s="11" t="n">
        <f aca="false">IFERROR(Modelo!I12*(1-Supuestos!$D$63)/I9,"N/M")</f>
        <v>0.303505712889357</v>
      </c>
      <c r="J10" s="11" t="n">
        <f aca="false">IFERROR(Modelo!J12*(1-Supuestos!$D$63)/J9,"N/M")</f>
        <v>0.325014969806725</v>
      </c>
      <c r="K10" s="11" t="n">
        <f aca="false">IFERROR(Modelo!K12*(1-Supuestos!$D$63)/K9,"N/M")</f>
        <v>0.319728483794701</v>
      </c>
    </row>
    <row r="11" customFormat="false" ht="15" hidden="false" customHeight="false" outlineLevel="0" collapsed="false">
      <c r="B11" s="5" t="s">
        <v>466</v>
      </c>
      <c r="C11" s="3" t="s">
        <v>60</v>
      </c>
      <c r="F11" s="11" t="n">
        <f aca="false">IF(ISNUMBER(F10),F10-WACC!$D$28,"N/M")</f>
        <v>0.139293499871472</v>
      </c>
      <c r="G11" s="11" t="n">
        <f aca="false">IF(ISNUMBER(G10),G10-WACC!$D$28,"N/M")</f>
        <v>0.151322056289939</v>
      </c>
      <c r="H11" s="11" t="n">
        <f aca="false">IF(ISNUMBER(H10),H10-WACC!$D$28,"N/M")</f>
        <v>0.167906055233436</v>
      </c>
      <c r="I11" s="11" t="n">
        <f aca="false">IF(ISNUMBER(I10),I10-WACC!$D$28,"N/M")</f>
        <v>0.186923856680206</v>
      </c>
      <c r="J11" s="11" t="n">
        <f aca="false">IF(ISNUMBER(J10),J10-WACC!$D$28,"N/M")</f>
        <v>0.208433113597575</v>
      </c>
      <c r="K11" s="11" t="n">
        <f aca="false">IF(ISNUMBER(K10),K10-WACC!$D$28,"N/M")</f>
        <v>0.203146627585551</v>
      </c>
    </row>
    <row r="12" customFormat="false" ht="15" hidden="false" customHeight="false" outlineLevel="0" collapsed="false">
      <c r="B12" s="5" t="s">
        <v>467</v>
      </c>
      <c r="C12" s="3" t="s">
        <v>37</v>
      </c>
      <c r="F12" s="7" t="n">
        <f aca="false">IF(ISNUMBER(F10),Modelo!F12*(1-Supuestos!$D$63)-WACC!$D$28*F9,"N/M")</f>
        <v>839.396296488765</v>
      </c>
      <c r="G12" s="7" t="n">
        <f aca="false">IF(ISNUMBER(G10),Modelo!G12*(1-Supuestos!$D$63)-WACC!$D$28*G9,"N/M")</f>
        <v>962.185662451222</v>
      </c>
      <c r="H12" s="7" t="n">
        <f aca="false">IF(ISNUMBER(H10),Modelo!H12*(1-Supuestos!$D$63)-WACC!$D$28*H9,"N/M")</f>
        <v>1111.82432077986</v>
      </c>
      <c r="I12" s="7" t="n">
        <f aca="false">IF(ISNUMBER(I10),Modelo!I12*(1-Supuestos!$D$63)-WACC!$D$28*I9,"N/M")</f>
        <v>1283.93590280056</v>
      </c>
      <c r="J12" s="7" t="n">
        <f aca="false">IF(ISNUMBER(J10),Modelo!J12*(1-Supuestos!$D$63)-WACC!$D$28*J9,"N/M")</f>
        <v>1480.2615536131</v>
      </c>
      <c r="K12" s="7" t="n">
        <f aca="false">IF(ISNUMBER(K10),Modelo!K12*(1-Supuestos!$D$63)-WACC!$D$28*K9,"N/M")</f>
        <v>1489.82781026815</v>
      </c>
    </row>
    <row r="13" customFormat="false" ht="15" hidden="false" customHeight="false" outlineLevel="0" collapsed="false">
      <c r="B13" s="5" t="s">
        <v>468</v>
      </c>
      <c r="C13" s="3" t="s">
        <v>99</v>
      </c>
      <c r="F13" s="38" t="n">
        <f aca="false">IF((-Modelo!F13)=0,"N/A",Modelo!F12/(-Modelo!F13))</f>
        <v>8.47214285714285</v>
      </c>
      <c r="G13" s="38" t="n">
        <f aca="false">IF((-Modelo!G13)=0,"N/A",Modelo!G12/(-Modelo!G13))</f>
        <v>11.6996892857143</v>
      </c>
      <c r="H13" s="38" t="n">
        <f aca="false">IF((-Modelo!H13)=0,"N/A",Modelo!H12/(-Modelo!H13))</f>
        <v>17.2508695047619</v>
      </c>
      <c r="I13" s="38" t="n">
        <f aca="false">IF((-Modelo!I13)=0,"N/A",Modelo!I12/(-Modelo!I13))</f>
        <v>28.6361152202286</v>
      </c>
      <c r="J13" s="38" t="n">
        <f aca="false">IF((-Modelo!J13)=0,"N/A",Modelo!J12/(-Modelo!J13))</f>
        <v>63.4123319289792</v>
      </c>
      <c r="K13" s="38" t="str">
        <f aca="false">IF((-Modelo!K13)=0,"N/A",Modelo!K12/(-Modelo!K13))</f>
        <v>N/A</v>
      </c>
    </row>
    <row r="14" customFormat="false" ht="15" hidden="false" customHeight="false" outlineLevel="0" collapsed="false">
      <c r="B14" s="5" t="s">
        <v>469</v>
      </c>
      <c r="C14" s="3" t="s">
        <v>99</v>
      </c>
      <c r="F14" s="38" t="n">
        <f aca="false">IF(Modelo!F10&lt;=0,"N/M",Modelo!F54/Modelo!F10)</f>
        <v>0.589926996534179</v>
      </c>
      <c r="G14" s="38" t="n">
        <f aca="false">IF(Modelo!G10&lt;=0,"N/M",Modelo!G54/Modelo!G10)</f>
        <v>0.399902637037969</v>
      </c>
      <c r="H14" s="38" t="n">
        <f aca="false">IF(Modelo!H10&lt;=0,"N/M",Modelo!H54/Modelo!H10)</f>
        <v>0.241098487373261</v>
      </c>
      <c r="I14" s="38" t="n">
        <f aca="false">IF(Modelo!I10&lt;=0,"N/M",Modelo!I54/Modelo!I10)</f>
        <v>0.109073708028364</v>
      </c>
      <c r="J14" s="38" t="n">
        <f aca="false">IF(Modelo!J10&lt;=0,"N/M",Modelo!J54/Modelo!J10)</f>
        <v>0</v>
      </c>
      <c r="K14" s="38" t="n">
        <f aca="false">IF(Modelo!K10&lt;=0,"N/M",Modelo!K54/Modelo!K10)</f>
        <v>0</v>
      </c>
    </row>
    <row r="15" customFormat="false" ht="15" hidden="false" customHeight="false" outlineLevel="0" collapsed="false">
      <c r="B15" s="5" t="s">
        <v>470</v>
      </c>
      <c r="C15" s="3" t="s">
        <v>99</v>
      </c>
      <c r="F15" s="38" t="n">
        <f aca="false">IF(Modelo!F10&lt;=0,"N/M",(Modelo!F54-Modelo!F36)/Modelo!F10)</f>
        <v>0.0538065152920155</v>
      </c>
      <c r="G15" s="38" t="n">
        <f aca="false">IF(Modelo!G10&lt;=0,"N/M",(Modelo!G54-Modelo!G36)/Modelo!G10)</f>
        <v>-0.284187828927176</v>
      </c>
      <c r="H15" s="38" t="n">
        <f aca="false">IF(Modelo!H10&lt;=0,"N/M",(Modelo!H54-Modelo!H36)/Modelo!H10)</f>
        <v>-0.61391128868292</v>
      </c>
      <c r="I15" s="38" t="n">
        <f aca="false">IF(Modelo!I10&lt;=0,"N/M",(Modelo!I54-Modelo!I36)/Modelo!I10)</f>
        <v>-0.932804605115062</v>
      </c>
      <c r="J15" s="38" t="n">
        <f aca="false">IF(Modelo!J10&lt;=0,"N/M",(Modelo!J54-Modelo!J36)/Modelo!J10)</f>
        <v>-1.23901936965845</v>
      </c>
      <c r="K15" s="38" t="n">
        <f aca="false">IF(Modelo!K10&lt;=0,"N/M",(Modelo!K54-Modelo!K36)/Modelo!K10)</f>
        <v>-1.55811072790802</v>
      </c>
    </row>
    <row r="16" customFormat="false" ht="15" hidden="false" customHeight="false" outlineLevel="0" collapsed="false">
      <c r="B16" s="5" t="s">
        <v>471</v>
      </c>
      <c r="C16" s="3" t="s">
        <v>99</v>
      </c>
      <c r="F16" s="38" t="n">
        <f aca="false">IF(((-Modelo!F13)+(-Deuda!F20))=0,"N/A",Modelo!F23/((-Modelo!F13)+(-Deuda!F20)))</f>
        <v>1.89183230768382</v>
      </c>
      <c r="G16" s="38" t="n">
        <f aca="false">IF(((-Modelo!G13)+(-Deuda!G20))=0,"N/A",Modelo!G23/((-Modelo!G13)+(-Deuda!G20)))</f>
        <v>2.31682443645317</v>
      </c>
      <c r="H16" s="38" t="n">
        <f aca="false">IF(((-Modelo!H13)+(-Deuda!H20))=0,"N/A",Modelo!H23/((-Modelo!H13)+(-Deuda!H20)))</f>
        <v>2.89461834083571</v>
      </c>
      <c r="I16" s="38" t="n">
        <f aca="false">IF(((-Modelo!I13)+(-Deuda!I20))=0,"N/A",Modelo!I23/((-Modelo!I13)+(-Deuda!I20)))</f>
        <v>3.63509667252617</v>
      </c>
      <c r="J16" s="38" t="n">
        <f aca="false">IF(((-Modelo!J13)+(-Deuda!J20))=0,"N/A",Modelo!J23/((-Modelo!J13)+(-Deuda!J20)))</f>
        <v>4.60215688350717</v>
      </c>
      <c r="K16" s="38" t="str">
        <f aca="false">IF(((-Modelo!K13)+(-Deuda!K20))=0,"N/A",Modelo!K23/((-Modelo!K13)+(-Deuda!K20)))</f>
        <v>N/A</v>
      </c>
    </row>
    <row r="17" customFormat="false" ht="15" hidden="false" customHeight="false" outlineLevel="0" collapsed="false">
      <c r="B17" s="5" t="s">
        <v>472</v>
      </c>
      <c r="E17" s="39" t="str">
        <f aca="false">IF(Modelo!E54&gt;0,"Sí","No")</f>
        <v>Sí</v>
      </c>
      <c r="F17" s="39" t="str">
        <f aca="false">IF(Modelo!F54&gt;0,"Sí","No")</f>
        <v>Sí</v>
      </c>
      <c r="G17" s="39" t="str">
        <f aca="false">IF(Modelo!G54&gt;0,"Sí","No")</f>
        <v>Sí</v>
      </c>
      <c r="H17" s="39" t="str">
        <f aca="false">IF(Modelo!H54&gt;0,"Sí","No")</f>
        <v>Sí</v>
      </c>
      <c r="I17" s="39" t="str">
        <f aca="false">IF(Modelo!I54&gt;0,"Sí","No")</f>
        <v>Sí</v>
      </c>
      <c r="J17" s="39" t="str">
        <f aca="false">IF(Modelo!J54&gt;0,"Sí","No")</f>
        <v>No</v>
      </c>
      <c r="K17" s="39" t="str">
        <f aca="false">IF(Modelo!K54&gt;0,"Sí","No")</f>
        <v>No</v>
      </c>
    </row>
    <row r="19" customFormat="false" ht="15" hidden="false" customHeight="false" outlineLevel="0" collapsed="false">
      <c r="B19" s="3" t="s">
        <v>473</v>
      </c>
    </row>
    <row r="20" customFormat="false" ht="15" hidden="false" customHeight="false" outlineLevel="0" collapsed="false">
      <c r="B20" s="3" t="s">
        <v>474</v>
      </c>
    </row>
    <row r="21" customFormat="false" ht="15" hidden="false" customHeight="false" outlineLevel="0" collapsed="false">
      <c r="B21" s="3" t="s">
        <v>475</v>
      </c>
    </row>
  </sheetData>
  <sheetProtection sheet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J3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4" topLeftCell="E5" activePane="bottomRight" state="frozen"/>
      <selection pane="topLeft" activeCell="A1" activeCellId="0" sqref="A1"/>
      <selection pane="topRight" activeCell="E1" activeCellId="0" sqref="E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6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11" min="5" style="0" width="12.5"/>
  </cols>
  <sheetData>
    <row r="2" customFormat="false" ht="15" hidden="false" customHeight="false" outlineLevel="0" collapsed="false">
      <c r="B2" s="1" t="s">
        <v>476</v>
      </c>
    </row>
    <row r="3" customFormat="false" ht="15" hidden="false" customHeight="false" outlineLevel="0" collapsed="false">
      <c r="B3" s="3" t="s">
        <v>477</v>
      </c>
    </row>
    <row r="5" customFormat="false" ht="15" hidden="false" customHeight="false" outlineLevel="0" collapsed="false">
      <c r="B5" s="8" t="s">
        <v>478</v>
      </c>
    </row>
    <row r="6" customFormat="false" ht="15" hidden="false" customHeight="false" outlineLevel="0" collapsed="false">
      <c r="B6" s="5" t="s">
        <v>479</v>
      </c>
      <c r="F6" s="11" t="n">
        <f aca="false">Supuestos!$G$43+Supuestos!$D$85*(-2)</f>
        <v>0.02</v>
      </c>
      <c r="G6" s="11" t="n">
        <f aca="false">Supuestos!$G$43+Supuestos!$D$85*(-1)</f>
        <v>0.025</v>
      </c>
      <c r="H6" s="11" t="n">
        <f aca="false">Supuestos!$G$43+Supuestos!$D$85*(0)</f>
        <v>0.03</v>
      </c>
      <c r="I6" s="11" t="n">
        <f aca="false">Supuestos!$G$43+Supuestos!$D$85*(1)</f>
        <v>0.035</v>
      </c>
      <c r="J6" s="11" t="n">
        <f aca="false">Supuestos!$G$43+Supuestos!$D$85*(2)</f>
        <v>0.04</v>
      </c>
    </row>
    <row r="7" customFormat="false" ht="15" hidden="false" customHeight="false" outlineLevel="0" collapsed="false">
      <c r="B7" s="5" t="s">
        <v>480</v>
      </c>
      <c r="C7" s="3" t="s">
        <v>37</v>
      </c>
      <c r="F7" s="7" t="n">
        <f aca="false">Ingresos!J21*(1+F6)</f>
        <v>63353.9000256455</v>
      </c>
      <c r="G7" s="7" t="n">
        <f aca="false">Ingresos!J21*(1+G6)</f>
        <v>63664.4583591045</v>
      </c>
      <c r="H7" s="7" t="n">
        <f aca="false">Ingresos!J21*(1+H6)</f>
        <v>63975.0166925636</v>
      </c>
      <c r="I7" s="7" t="n">
        <f aca="false">Ingresos!J21*(1+I6)</f>
        <v>64285.5750260226</v>
      </c>
      <c r="J7" s="7" t="n">
        <f aca="false">Ingresos!J21*(1+J6)</f>
        <v>64596.1333594817</v>
      </c>
    </row>
    <row r="8" customFormat="false" ht="15" hidden="false" customHeight="false" outlineLevel="0" collapsed="false">
      <c r="B8" s="5" t="s">
        <v>481</v>
      </c>
      <c r="C8" s="3" t="s">
        <v>37</v>
      </c>
      <c r="F8" s="7" t="n">
        <f aca="false">Ingresos!J22*(1+F6)</f>
        <v>-55751.432022568</v>
      </c>
      <c r="G8" s="7" t="n">
        <f aca="false">Ingresos!J22*(1+G6)</f>
        <v>-56024.723356012</v>
      </c>
      <c r="H8" s="7" t="n">
        <f aca="false">Ingresos!J22*(1+H6)</f>
        <v>-56298.0146894559</v>
      </c>
      <c r="I8" s="7" t="n">
        <f aca="false">Ingresos!J22*(1+I6)</f>
        <v>-56571.3060228999</v>
      </c>
      <c r="J8" s="7" t="n">
        <f aca="false">Ingresos!J22*(1+J6)</f>
        <v>-56844.5973563439</v>
      </c>
    </row>
    <row r="9" customFormat="false" ht="15" hidden="false" customHeight="false" outlineLevel="0" collapsed="false">
      <c r="B9" s="5" t="s">
        <v>482</v>
      </c>
      <c r="C9" s="3" t="s">
        <v>37</v>
      </c>
      <c r="F9" s="7" t="n">
        <f aca="false">Gastos!J5*(1+F6)</f>
        <v>-1569.7386025248</v>
      </c>
      <c r="G9" s="7" t="n">
        <f aca="false">Gastos!J5*(1+G6)</f>
        <v>-1577.433399596</v>
      </c>
      <c r="H9" s="7" t="n">
        <f aca="false">Gastos!J5*(1+H6)</f>
        <v>-1585.1281966672</v>
      </c>
      <c r="I9" s="7" t="n">
        <f aca="false">Gastos!J5*(1+I6)</f>
        <v>-1592.8229937384</v>
      </c>
      <c r="J9" s="7" t="n">
        <f aca="false">Gastos!J5*(1+J6)</f>
        <v>-1600.5177908096</v>
      </c>
    </row>
    <row r="10" customFormat="false" ht="15" hidden="false" customHeight="false" outlineLevel="0" collapsed="false">
      <c r="B10" s="5" t="s">
        <v>483</v>
      </c>
      <c r="C10" s="3" t="s">
        <v>37</v>
      </c>
      <c r="F10" s="7" t="n">
        <f aca="false">-F7*Supuestos!$G$37</f>
        <v>-1900.61700076936</v>
      </c>
      <c r="G10" s="7" t="n">
        <f aca="false">-G7*Supuestos!$G$37</f>
        <v>-1909.93375077314</v>
      </c>
      <c r="H10" s="7" t="n">
        <f aca="false">-H7*Supuestos!$G$37</f>
        <v>-1919.25050077691</v>
      </c>
      <c r="I10" s="7" t="n">
        <f aca="false">-I7*Supuestos!$G$37</f>
        <v>-1928.56725078068</v>
      </c>
      <c r="J10" s="7" t="n">
        <f aca="false">-J7*Supuestos!$G$37</f>
        <v>-1937.88400078445</v>
      </c>
    </row>
    <row r="11" customFormat="false" ht="15" hidden="false" customHeight="false" outlineLevel="0" collapsed="false">
      <c r="B11" s="5" t="s">
        <v>484</v>
      </c>
      <c r="C11" s="3" t="s">
        <v>37</v>
      </c>
      <c r="F11" s="7" t="n">
        <f aca="false">F7+F8+F9+F10</f>
        <v>4132.11239978329</v>
      </c>
      <c r="G11" s="7" t="n">
        <f aca="false">G7+G8+G9+G10</f>
        <v>4152.36785272341</v>
      </c>
      <c r="H11" s="7" t="n">
        <f aca="false">H7+H8+H9+H10</f>
        <v>4172.62330566353</v>
      </c>
      <c r="I11" s="7" t="n">
        <f aca="false">I7+I8+I9+I10</f>
        <v>4192.87875860364</v>
      </c>
      <c r="J11" s="7" t="n">
        <f aca="false">J7+J8+J9+J10</f>
        <v>4213.13421154375</v>
      </c>
    </row>
    <row r="12" customFormat="false" ht="15" hidden="false" customHeight="false" outlineLevel="0" collapsed="false">
      <c r="B12" s="5" t="s">
        <v>485</v>
      </c>
      <c r="C12" s="3" t="s">
        <v>37</v>
      </c>
      <c r="F12" s="7" t="n">
        <f aca="false">SUM(CAPEX!K10:K15)</f>
        <v>500</v>
      </c>
      <c r="G12" s="7" t="n">
        <f aca="false">SUM(CAPEX!K10:K15)</f>
        <v>500</v>
      </c>
      <c r="H12" s="7" t="n">
        <f aca="false">SUM(CAPEX!K10:K15)</f>
        <v>500</v>
      </c>
      <c r="I12" s="7" t="n">
        <f aca="false">SUM(CAPEX!K10:K15)</f>
        <v>500</v>
      </c>
      <c r="J12" s="7" t="n">
        <f aca="false">SUM(CAPEX!K10:K15)</f>
        <v>500</v>
      </c>
    </row>
    <row r="13" customFormat="false" ht="15" hidden="false" customHeight="false" outlineLevel="0" collapsed="false">
      <c r="B13" s="5" t="s">
        <v>486</v>
      </c>
      <c r="C13" s="3" t="s">
        <v>37</v>
      </c>
      <c r="F13" s="7" t="n">
        <f aca="false">(F12+F6*CAPEX!J21)/(1-1/Supuestos!$D$46)</f>
        <v>620</v>
      </c>
      <c r="G13" s="7" t="n">
        <f aca="false">(G12+G6*CAPEX!J21)/(1-1/Supuestos!$D$46)</f>
        <v>636.111111111111</v>
      </c>
      <c r="H13" s="7" t="n">
        <f aca="false">(H12+H6*CAPEX!J21)/(1-1/Supuestos!$D$46)</f>
        <v>652.222222222222</v>
      </c>
      <c r="I13" s="7" t="n">
        <f aca="false">(I12+I6*CAPEX!J21)/(1-1/Supuestos!$D$46)</f>
        <v>668.333333333333</v>
      </c>
      <c r="J13" s="7" t="n">
        <f aca="false">(J12+J6*CAPEX!J21)/(1-1/Supuestos!$D$46)</f>
        <v>684.444444444445</v>
      </c>
    </row>
    <row r="14" customFormat="false" ht="15" hidden="false" customHeight="false" outlineLevel="0" collapsed="false">
      <c r="B14" s="5" t="s">
        <v>487</v>
      </c>
      <c r="C14" s="3" t="s">
        <v>37</v>
      </c>
      <c r="F14" s="7" t="n">
        <f aca="false">F12+F13/Supuestos!$D$46</f>
        <v>562</v>
      </c>
      <c r="G14" s="7" t="n">
        <f aca="false">G12+G13/Supuestos!$D$46</f>
        <v>563.611111111111</v>
      </c>
      <c r="H14" s="7" t="n">
        <f aca="false">H12+H13/Supuestos!$D$46</f>
        <v>565.222222222222</v>
      </c>
      <c r="I14" s="7" t="n">
        <f aca="false">I12+I13/Supuestos!$D$46</f>
        <v>566.833333333333</v>
      </c>
      <c r="J14" s="7" t="n">
        <f aca="false">J12+J13/Supuestos!$D$46</f>
        <v>568.444444444445</v>
      </c>
    </row>
    <row r="15" customFormat="false" ht="15" hidden="false" customHeight="false" outlineLevel="0" collapsed="false">
      <c r="B15" s="5" t="s">
        <v>488</v>
      </c>
      <c r="C15" s="3" t="s">
        <v>37</v>
      </c>
      <c r="F15" s="7" t="n">
        <f aca="false">F11-F14</f>
        <v>3570.11239978329</v>
      </c>
      <c r="G15" s="7" t="n">
        <f aca="false">G11-G14</f>
        <v>3588.7567416123</v>
      </c>
      <c r="H15" s="7" t="n">
        <f aca="false">H11-H14</f>
        <v>3607.4010834413</v>
      </c>
      <c r="I15" s="7" t="n">
        <f aca="false">I11-I14</f>
        <v>3626.04542527031</v>
      </c>
      <c r="J15" s="7" t="n">
        <f aca="false">J11-J14</f>
        <v>3644.68976709931</v>
      </c>
    </row>
    <row r="16" customFormat="false" ht="15" hidden="false" customHeight="false" outlineLevel="0" collapsed="false">
      <c r="B16" s="5" t="s">
        <v>489</v>
      </c>
      <c r="C16" s="3" t="s">
        <v>37</v>
      </c>
      <c r="F16" s="7" t="n">
        <f aca="false">F15*(1-Supuestos!$D$63)</f>
        <v>2320.57305985914</v>
      </c>
      <c r="G16" s="7" t="n">
        <f aca="false">G15*(1-Supuestos!$D$63)</f>
        <v>2332.69188204799</v>
      </c>
      <c r="H16" s="7" t="n">
        <f aca="false">H15*(1-Supuestos!$D$63)</f>
        <v>2344.81070423685</v>
      </c>
      <c r="I16" s="7" t="n">
        <f aca="false">I15*(1-Supuestos!$D$63)</f>
        <v>2356.9295264257</v>
      </c>
      <c r="J16" s="7" t="n">
        <f aca="false">J15*(1-Supuestos!$D$63)</f>
        <v>2369.04834861455</v>
      </c>
    </row>
    <row r="17" customFormat="false" ht="15" hidden="false" customHeight="false" outlineLevel="0" collapsed="false">
      <c r="B17" s="5" t="s">
        <v>490</v>
      </c>
      <c r="C17" s="3" t="s">
        <v>37</v>
      </c>
      <c r="F17" s="7" t="n">
        <f aca="false">F7*Supuestos!$G$38/Supuestos!$D$82</f>
        <v>6075.03150930847</v>
      </c>
      <c r="G17" s="7" t="n">
        <f aca="false">G7*Supuestos!$G$38/Supuestos!$D$82</f>
        <v>6104.81107553057</v>
      </c>
      <c r="H17" s="7" t="n">
        <f aca="false">H7*Supuestos!$G$38/Supuestos!$D$82</f>
        <v>6134.59064175267</v>
      </c>
      <c r="I17" s="7" t="n">
        <f aca="false">I7*Supuestos!$G$38/Supuestos!$D$82</f>
        <v>6164.37020797477</v>
      </c>
      <c r="J17" s="7" t="n">
        <f aca="false">J7*Supuestos!$G$38/Supuestos!$D$82</f>
        <v>6194.14977419687</v>
      </c>
    </row>
    <row r="18" customFormat="false" ht="15" hidden="false" customHeight="false" outlineLevel="0" collapsed="false">
      <c r="B18" s="5" t="s">
        <v>491</v>
      </c>
      <c r="C18" s="3" t="s">
        <v>37</v>
      </c>
      <c r="F18" s="7" t="n">
        <f aca="false">(-F8)*Supuestos!$G$39/Supuestos!$D$82</f>
        <v>3818.59123442247</v>
      </c>
      <c r="G18" s="7" t="n">
        <f aca="false">(-G8)*Supuestos!$G$39/Supuestos!$D$82</f>
        <v>3837.30981890493</v>
      </c>
      <c r="H18" s="7" t="n">
        <f aca="false">(-H8)*Supuestos!$G$39/Supuestos!$D$82</f>
        <v>3856.02840338739</v>
      </c>
      <c r="I18" s="7" t="n">
        <f aca="false">(-I8)*Supuestos!$G$39/Supuestos!$D$82</f>
        <v>3874.74698786986</v>
      </c>
      <c r="J18" s="7" t="n">
        <f aca="false">(-J8)*Supuestos!$G$39/Supuestos!$D$82</f>
        <v>3893.46557235232</v>
      </c>
    </row>
    <row r="19" customFormat="false" ht="15" hidden="false" customHeight="false" outlineLevel="0" collapsed="false">
      <c r="B19" s="5" t="s">
        <v>492</v>
      </c>
      <c r="C19" s="3" t="s">
        <v>37</v>
      </c>
      <c r="F19" s="7" t="n">
        <f aca="false">(-F8)+F18-KTNO!J6</f>
        <v>55826.3063604979</v>
      </c>
      <c r="G19" s="7" t="n">
        <f aca="false">(-G8)+G18-KTNO!J6</f>
        <v>56118.3162784243</v>
      </c>
      <c r="H19" s="7" t="n">
        <f aca="false">(-H8)+H18-KTNO!J6</f>
        <v>56410.3261963507</v>
      </c>
      <c r="I19" s="7" t="n">
        <f aca="false">(-I8)+I18-KTNO!J6</f>
        <v>56702.3361142771</v>
      </c>
      <c r="J19" s="7" t="n">
        <f aca="false">(-J8)+J18-KTNO!J6</f>
        <v>56994.3460322036</v>
      </c>
    </row>
    <row r="20" customFormat="false" ht="15" hidden="false" customHeight="false" outlineLevel="0" collapsed="false">
      <c r="B20" s="5" t="s">
        <v>493</v>
      </c>
      <c r="C20" s="3" t="s">
        <v>37</v>
      </c>
      <c r="F20" s="7" t="n">
        <f aca="false">F19*Supuestos!$G$40/Supuestos!$D$82</f>
        <v>6117.95138197237</v>
      </c>
      <c r="G20" s="7" t="n">
        <f aca="false">G19*Supuestos!$G$40/Supuestos!$D$82</f>
        <v>6149.95246886842</v>
      </c>
      <c r="H20" s="7" t="n">
        <f aca="false">H19*Supuestos!$G$40/Supuestos!$D$82</f>
        <v>6181.95355576446</v>
      </c>
      <c r="I20" s="7" t="n">
        <f aca="false">I19*Supuestos!$G$40/Supuestos!$D$82</f>
        <v>6213.95464266051</v>
      </c>
      <c r="J20" s="7" t="n">
        <f aca="false">J19*Supuestos!$G$40/Supuestos!$D$82</f>
        <v>6245.95572955656</v>
      </c>
    </row>
    <row r="21" customFormat="false" ht="15" hidden="false" customHeight="false" outlineLevel="0" collapsed="false">
      <c r="B21" s="5" t="s">
        <v>494</v>
      </c>
      <c r="C21" s="3" t="s">
        <v>37</v>
      </c>
      <c r="F21" s="7" t="n">
        <f aca="false">F17+F18-F20</f>
        <v>3775.67136175857</v>
      </c>
      <c r="G21" s="7" t="n">
        <f aca="false">G17+G18-G20</f>
        <v>3792.16842556709</v>
      </c>
      <c r="H21" s="7" t="n">
        <f aca="false">H17+H18-H20</f>
        <v>3808.6654893756</v>
      </c>
      <c r="I21" s="7" t="n">
        <f aca="false">I17+I18-I20</f>
        <v>3825.16255318412</v>
      </c>
      <c r="J21" s="7" t="n">
        <f aca="false">J17+J18-J20</f>
        <v>3841.65961699264</v>
      </c>
    </row>
    <row r="22" customFormat="false" ht="15" hidden="false" customHeight="false" outlineLevel="0" collapsed="false">
      <c r="B22" s="5" t="s">
        <v>495</v>
      </c>
      <c r="C22" s="3" t="s">
        <v>37</v>
      </c>
      <c r="F22" s="7" t="n">
        <f aca="false">F21-KTNO!J9</f>
        <v>100.553156079803</v>
      </c>
      <c r="G22" s="7" t="n">
        <f aca="false">G21-KTNO!J9</f>
        <v>117.050219888321</v>
      </c>
      <c r="H22" s="7" t="n">
        <f aca="false">H21-KTNO!J9</f>
        <v>133.547283696837</v>
      </c>
      <c r="I22" s="7" t="n">
        <f aca="false">I21-KTNO!J9</f>
        <v>150.044347505353</v>
      </c>
      <c r="J22" s="7" t="n">
        <f aca="false">J21-KTNO!J9</f>
        <v>166.54141131387</v>
      </c>
    </row>
    <row r="23" customFormat="false" ht="15" hidden="false" customHeight="false" outlineLevel="0" collapsed="false">
      <c r="B23" s="5" t="s">
        <v>496</v>
      </c>
      <c r="C23" s="3" t="s">
        <v>37</v>
      </c>
      <c r="F23" s="7" t="n">
        <f aca="false">F16+F14-F22-F13</f>
        <v>2162.01990377934</v>
      </c>
      <c r="G23" s="7" t="n">
        <f aca="false">G16+G14-G22-G13</f>
        <v>2143.14166215967</v>
      </c>
      <c r="H23" s="7" t="n">
        <f aca="false">H16+H14-H22-H13</f>
        <v>2124.26342054001</v>
      </c>
      <c r="I23" s="7" t="n">
        <f aca="false">I16+I14-I22-I13</f>
        <v>2105.38517892035</v>
      </c>
      <c r="J23" s="7" t="n">
        <f aca="false">J16+J14-J22-J13</f>
        <v>2086.50693730068</v>
      </c>
    </row>
    <row r="26" customFormat="false" ht="15" hidden="false" customHeight="false" outlineLevel="0" collapsed="false">
      <c r="B26" s="8" t="s">
        <v>497</v>
      </c>
    </row>
    <row r="27" customFormat="false" ht="15" hidden="false" customHeight="false" outlineLevel="0" collapsed="false">
      <c r="D27" s="2" t="s">
        <v>498</v>
      </c>
      <c r="F27" s="11" t="n">
        <f aca="false">F6</f>
        <v>0.02</v>
      </c>
      <c r="G27" s="11" t="n">
        <f aca="false">G6</f>
        <v>0.025</v>
      </c>
      <c r="H27" s="11" t="n">
        <f aca="false">H6</f>
        <v>0.03</v>
      </c>
      <c r="I27" s="11" t="n">
        <f aca="false">I6</f>
        <v>0.035</v>
      </c>
      <c r="J27" s="11" t="n">
        <f aca="false">J6</f>
        <v>0.04</v>
      </c>
    </row>
    <row r="28" customFormat="false" ht="15" hidden="false" customHeight="false" outlineLevel="0" collapsed="false">
      <c r="D28" s="11" t="n">
        <f aca="false">WACC!$D$28+Supuestos!$D$84*(-2)</f>
        <v>0.0965818562091504</v>
      </c>
      <c r="F28" s="40" t="n">
        <f aca="false">IF($D28-F$27&lt;=Supuestos!$D$88,"n/a",Valoracion!$F$5/(1+$D28)^IF(Supuestos!$D$9=1,1,1-Supuestos!$D$83)+Valoracion!$G$5/(1+$D28)^IF(Supuestos!$D$9=1,2,2-Supuestos!$D$83)+Valoracion!$H$5/(1+$D28)^IF(Supuestos!$D$9=1,3,3-Supuestos!$D$83)+Valoracion!$I$5/(1+$D28)^IF(Supuestos!$D$9=1,4,4-Supuestos!$D$83)+Valoracion!$J$5/(1+$D28)^IF(Supuestos!$D$9=1,5,5-Supuestos!$D$83)+(F$23/($D28-F$27))/(1+$D28)^IF(Supuestos!$D$9=1,5,5-Supuestos!$D$83))</f>
        <v>24037.3176540695</v>
      </c>
      <c r="G28" s="40" t="n">
        <f aca="false">IF($D28-G$27&lt;=Supuestos!$D$88,"n/a",Valoracion!$F$5/(1+$D28)^IF(Supuestos!$D$9=1,1,1-Supuestos!$D$83)+Valoracion!$G$5/(1+$D28)^IF(Supuestos!$D$9=1,2,2-Supuestos!$D$83)+Valoracion!$H$5/(1+$D28)^IF(Supuestos!$D$9=1,3,3-Supuestos!$D$83)+Valoracion!$I$5/(1+$D28)^IF(Supuestos!$D$9=1,4,4-Supuestos!$D$83)+Valoracion!$J$5/(1+$D28)^IF(Supuestos!$D$9=1,5,5-Supuestos!$D$83)+(G$23/($D28-G$27))/(1+$D28)^IF(Supuestos!$D$9=1,5,5-Supuestos!$D$83))</f>
        <v>25114.6368101493</v>
      </c>
      <c r="H28" s="40" t="n">
        <f aca="false">IF($D28-H$27&lt;=Supuestos!$D$88,"n/a",Valoracion!$F$5/(1+$D28)^IF(Supuestos!$D$9=1,1,1-Supuestos!$D$83)+Valoracion!$G$5/(1+$D28)^IF(Supuestos!$D$9=1,2,2-Supuestos!$D$83)+Valoracion!$H$5/(1+$D28)^IF(Supuestos!$D$9=1,3,3-Supuestos!$D$83)+Valoracion!$I$5/(1+$D28)^IF(Supuestos!$D$9=1,4,4-Supuestos!$D$83)+Valoracion!$J$5/(1+$D28)^IF(Supuestos!$D$9=1,5,5-Supuestos!$D$83)+(H$23/($D28-H$27))/(1+$D28)^IF(Supuestos!$D$9=1,5,5-Supuestos!$D$83))</f>
        <v>26353.7596793452</v>
      </c>
      <c r="I28" s="40" t="n">
        <f aca="false">IF($D28-I$27&lt;=Supuestos!$D$88,"n/a",Valoracion!$F$5/(1+$D28)^IF(Supuestos!$D$9=1,1,1-Supuestos!$D$83)+Valoracion!$G$5/(1+$D28)^IF(Supuestos!$D$9=1,2,2-Supuestos!$D$83)+Valoracion!$H$5/(1+$D28)^IF(Supuestos!$D$9=1,3,3-Supuestos!$D$83)+Valoracion!$I$5/(1+$D28)^IF(Supuestos!$D$9=1,4,4-Supuestos!$D$83)+Valoracion!$J$5/(1+$D28)^IF(Supuestos!$D$9=1,5,5-Supuestos!$D$83)+(I$23/($D28-I$27))/(1+$D28)^IF(Supuestos!$D$9=1,5,5-Supuestos!$D$83))</f>
        <v>27794.0981249256</v>
      </c>
      <c r="J28" s="40" t="n">
        <f aca="false">IF($D28-J$27&lt;=Supuestos!$D$88,"n/a",Valoracion!$F$5/(1+$D28)^IF(Supuestos!$D$9=1,1,1-Supuestos!$D$83)+Valoracion!$G$5/(1+$D28)^IF(Supuestos!$D$9=1,2,2-Supuestos!$D$83)+Valoracion!$H$5/(1+$D28)^IF(Supuestos!$D$9=1,3,3-Supuestos!$D$83)+Valoracion!$I$5/(1+$D28)^IF(Supuestos!$D$9=1,4,4-Supuestos!$D$83)+Valoracion!$J$5/(1+$D28)^IF(Supuestos!$D$9=1,5,5-Supuestos!$D$83)+(J$23/($D28-J$27))/(1+$D28)^IF(Supuestos!$D$9=1,5,5-Supuestos!$D$83))</f>
        <v>29488.9949293299</v>
      </c>
    </row>
    <row r="29" customFormat="false" ht="15" hidden="false" customHeight="false" outlineLevel="0" collapsed="false">
      <c r="D29" s="11" t="n">
        <f aca="false">WACC!$D$28+Supuestos!$D$84*(-1)</f>
        <v>0.10658185620915</v>
      </c>
      <c r="F29" s="40" t="n">
        <f aca="false">IF($D29-F$27&lt;=Supuestos!$D$88,"n/a",Valoracion!$F$5/(1+$D29)^IF(Supuestos!$D$9=1,1,1-Supuestos!$D$83)+Valoracion!$G$5/(1+$D29)^IF(Supuestos!$D$9=1,2,2-Supuestos!$D$83)+Valoracion!$H$5/(1+$D29)^IF(Supuestos!$D$9=1,3,3-Supuestos!$D$83)+Valoracion!$I$5/(1+$D29)^IF(Supuestos!$D$9=1,4,4-Supuestos!$D$83)+Valoracion!$J$5/(1+$D29)^IF(Supuestos!$D$9=1,5,5-Supuestos!$D$83)+(F$23/($D29-F$27))/(1+$D29)^IF(Supuestos!$D$9=1,5,5-Supuestos!$D$83))</f>
        <v>21111.7668488451</v>
      </c>
      <c r="G29" s="40" t="n">
        <f aca="false">IF($D29-G$27&lt;=Supuestos!$D$88,"n/a",Valoracion!$F$5/(1+$D29)^IF(Supuestos!$D$9=1,1,1-Supuestos!$D$83)+Valoracion!$G$5/(1+$D29)^IF(Supuestos!$D$9=1,2,2-Supuestos!$D$83)+Valoracion!$H$5/(1+$D29)^IF(Supuestos!$D$9=1,3,3-Supuestos!$D$83)+Valoracion!$I$5/(1+$D29)^IF(Supuestos!$D$9=1,4,4-Supuestos!$D$83)+Valoracion!$J$5/(1+$D29)^IF(Supuestos!$D$9=1,5,5-Supuestos!$D$83)+(G$23/($D29-G$27))/(1+$D29)^IF(Supuestos!$D$9=1,5,5-Supuestos!$D$83))</f>
        <v>21894.6476171698</v>
      </c>
      <c r="H29" s="40" t="n">
        <f aca="false">IF($D29-H$27&lt;=Supuestos!$D$88,"n/a",Valoracion!$F$5/(1+$D29)^IF(Supuestos!$D$9=1,1,1-Supuestos!$D$83)+Valoracion!$G$5/(1+$D29)^IF(Supuestos!$D$9=1,2,2-Supuestos!$D$83)+Valoracion!$H$5/(1+$D29)^IF(Supuestos!$D$9=1,3,3-Supuestos!$D$83)+Valoracion!$I$5/(1+$D29)^IF(Supuestos!$D$9=1,4,4-Supuestos!$D$83)+Valoracion!$J$5/(1+$D29)^IF(Supuestos!$D$9=1,5,5-Supuestos!$D$83)+(H$23/($D29-H$27))/(1+$D29)^IF(Supuestos!$D$9=1,5,5-Supuestos!$D$83))</f>
        <v>22779.7563552875</v>
      </c>
      <c r="I29" s="40" t="n">
        <f aca="false">IF($D29-I$27&lt;=Supuestos!$D$88,"n/a",Valoracion!$F$5/(1+$D29)^IF(Supuestos!$D$9=1,1,1-Supuestos!$D$83)+Valoracion!$G$5/(1+$D29)^IF(Supuestos!$D$9=1,2,2-Supuestos!$D$83)+Valoracion!$H$5/(1+$D29)^IF(Supuestos!$D$9=1,3,3-Supuestos!$D$83)+Valoracion!$I$5/(1+$D29)^IF(Supuestos!$D$9=1,4,4-Supuestos!$D$83)+Valoracion!$J$5/(1+$D29)^IF(Supuestos!$D$9=1,5,5-Supuestos!$D$83)+(I$23/($D29-I$27))/(1+$D29)^IF(Supuestos!$D$9=1,5,5-Supuestos!$D$83))</f>
        <v>23788.5149657321</v>
      </c>
      <c r="J29" s="40" t="n">
        <f aca="false">IF($D29-J$27&lt;=Supuestos!$D$88,"n/a",Valoracion!$F$5/(1+$D29)^IF(Supuestos!$D$9=1,1,1-Supuestos!$D$83)+Valoracion!$G$5/(1+$D29)^IF(Supuestos!$D$9=1,2,2-Supuestos!$D$83)+Valoracion!$H$5/(1+$D29)^IF(Supuestos!$D$9=1,3,3-Supuestos!$D$83)+Valoracion!$I$5/(1+$D29)^IF(Supuestos!$D$9=1,4,4-Supuestos!$D$83)+Valoracion!$J$5/(1+$D29)^IF(Supuestos!$D$9=1,5,5-Supuestos!$D$83)+(J$23/($D29-J$27))/(1+$D29)^IF(Supuestos!$D$9=1,5,5-Supuestos!$D$83))</f>
        <v>24948.7801078173</v>
      </c>
    </row>
    <row r="30" customFormat="false" ht="15" hidden="false" customHeight="false" outlineLevel="0" collapsed="false">
      <c r="D30" s="11" t="n">
        <f aca="false">WACC!$D$28+Supuestos!$D$84*(0)</f>
        <v>0.11658185620915</v>
      </c>
      <c r="F30" s="40" t="n">
        <f aca="false">IF($D30-F$27&lt;=Supuestos!$D$88,"n/a",Valoracion!$F$5/(1+$D30)^IF(Supuestos!$D$9=1,1,1-Supuestos!$D$83)+Valoracion!$G$5/(1+$D30)^IF(Supuestos!$D$9=1,2,2-Supuestos!$D$83)+Valoracion!$H$5/(1+$D30)^IF(Supuestos!$D$9=1,3,3-Supuestos!$D$83)+Valoracion!$I$5/(1+$D30)^IF(Supuestos!$D$9=1,4,4-Supuestos!$D$83)+Valoracion!$J$5/(1+$D30)^IF(Supuestos!$D$9=1,5,5-Supuestos!$D$83)+(F$23/($D30-F$27))/(1+$D30)^IF(Supuestos!$D$9=1,5,5-Supuestos!$D$83))</f>
        <v>18796.9062980574</v>
      </c>
      <c r="G30" s="40" t="n">
        <f aca="false">IF($D30-G$27&lt;=Supuestos!$D$88,"n/a",Valoracion!$F$5/(1+$D30)^IF(Supuestos!$D$9=1,1,1-Supuestos!$D$83)+Valoracion!$G$5/(1+$D30)^IF(Supuestos!$D$9=1,2,2-Supuestos!$D$83)+Valoracion!$H$5/(1+$D30)^IF(Supuestos!$D$9=1,3,3-Supuestos!$D$83)+Valoracion!$I$5/(1+$D30)^IF(Supuestos!$D$9=1,4,4-Supuestos!$D$83)+Valoracion!$J$5/(1+$D30)^IF(Supuestos!$D$9=1,5,5-Supuestos!$D$83)+(G$23/($D30-G$27))/(1+$D30)^IF(Supuestos!$D$9=1,5,5-Supuestos!$D$83))</f>
        <v>19382.2991874696</v>
      </c>
      <c r="H30" s="40" t="n">
        <f aca="false">IF($D30-H$27&lt;=Supuestos!$D$88,"n/a",Valoracion!$F$5/(1+$D30)^IF(Supuestos!$D$9=1,1,1-Supuestos!$D$83)+Valoracion!$G$5/(1+$D30)^IF(Supuestos!$D$9=1,2,2-Supuestos!$D$83)+Valoracion!$H$5/(1+$D30)^IF(Supuestos!$D$9=1,3,3-Supuestos!$D$83)+Valoracion!$I$5/(1+$D30)^IF(Supuestos!$D$9=1,4,4-Supuestos!$D$83)+Valoracion!$J$5/(1+$D30)^IF(Supuestos!$D$9=1,5,5-Supuestos!$D$83)+(H$23/($D30-H$27))/(1+$D30)^IF(Supuestos!$D$9=1,5,5-Supuestos!$D$83))</f>
        <v>20035.3035736829</v>
      </c>
      <c r="I30" s="40" t="n">
        <f aca="false">IF($D30-I$27&lt;=Supuestos!$D$88,"n/a",Valoracion!$F$5/(1+$D30)^IF(Supuestos!$D$9=1,1,1-Supuestos!$D$83)+Valoracion!$G$5/(1+$D30)^IF(Supuestos!$D$9=1,2,2-Supuestos!$D$83)+Valoracion!$H$5/(1+$D30)^IF(Supuestos!$D$9=1,3,3-Supuestos!$D$83)+Valoracion!$I$5/(1+$D30)^IF(Supuestos!$D$9=1,4,4-Supuestos!$D$83)+Valoracion!$J$5/(1+$D30)^IF(Supuestos!$D$9=1,5,5-Supuestos!$D$83)+(I$23/($D30-I$27))/(1+$D30)^IF(Supuestos!$D$9=1,5,5-Supuestos!$D$83))</f>
        <v>20768.350804783</v>
      </c>
      <c r="J30" s="40" t="n">
        <f aca="false">IF($D30-J$27&lt;=Supuestos!$D$88,"n/a",Valoracion!$F$5/(1+$D30)^IF(Supuestos!$D$9=1,1,1-Supuestos!$D$83)+Valoracion!$G$5/(1+$D30)^IF(Supuestos!$D$9=1,2,2-Supuestos!$D$83)+Valoracion!$H$5/(1+$D30)^IF(Supuestos!$D$9=1,3,3-Supuestos!$D$83)+Valoracion!$I$5/(1+$D30)^IF(Supuestos!$D$9=1,4,4-Supuestos!$D$83)+Valoracion!$J$5/(1+$D30)^IF(Supuestos!$D$9=1,5,5-Supuestos!$D$83)+(J$23/($D30-J$27))/(1+$D30)^IF(Supuestos!$D$9=1,5,5-Supuestos!$D$83))</f>
        <v>21597.1187806374</v>
      </c>
    </row>
    <row r="31" customFormat="false" ht="15" hidden="false" customHeight="false" outlineLevel="0" collapsed="false">
      <c r="D31" s="11" t="n">
        <f aca="false">WACC!$D$28+Supuestos!$D$84*(1)</f>
        <v>0.12658185620915</v>
      </c>
      <c r="F31" s="40" t="n">
        <f aca="false">IF($D31-F$27&lt;=Supuestos!$D$88,"n/a",Valoracion!$F$5/(1+$D31)^IF(Supuestos!$D$9=1,1,1-Supuestos!$D$83)+Valoracion!$G$5/(1+$D31)^IF(Supuestos!$D$9=1,2,2-Supuestos!$D$83)+Valoracion!$H$5/(1+$D31)^IF(Supuestos!$D$9=1,3,3-Supuestos!$D$83)+Valoracion!$I$5/(1+$D31)^IF(Supuestos!$D$9=1,4,4-Supuestos!$D$83)+Valoracion!$J$5/(1+$D31)^IF(Supuestos!$D$9=1,5,5-Supuestos!$D$83)+(F$23/($D31-F$27))/(1+$D31)^IF(Supuestos!$D$9=1,5,5-Supuestos!$D$83))</f>
        <v>16920.6345920679</v>
      </c>
      <c r="G31" s="40" t="n">
        <f aca="false">IF($D31-G$27&lt;=Supuestos!$D$88,"n/a",Valoracion!$F$5/(1+$D31)^IF(Supuestos!$D$9=1,1,1-Supuestos!$D$83)+Valoracion!$G$5/(1+$D31)^IF(Supuestos!$D$9=1,2,2-Supuestos!$D$83)+Valoracion!$H$5/(1+$D31)^IF(Supuestos!$D$9=1,3,3-Supuestos!$D$83)+Valoracion!$I$5/(1+$D31)^IF(Supuestos!$D$9=1,4,4-Supuestos!$D$83)+Valoracion!$J$5/(1+$D31)^IF(Supuestos!$D$9=1,5,5-Supuestos!$D$83)+(G$23/($D31-G$27))/(1+$D31)^IF(Supuestos!$D$9=1,5,5-Supuestos!$D$83))</f>
        <v>17368.4219531646</v>
      </c>
      <c r="H31" s="40" t="n">
        <f aca="false">IF($D31-H$27&lt;=Supuestos!$D$88,"n/a",Valoracion!$F$5/(1+$D31)^IF(Supuestos!$D$9=1,1,1-Supuestos!$D$83)+Valoracion!$G$5/(1+$D31)^IF(Supuestos!$D$9=1,2,2-Supuestos!$D$83)+Valoracion!$H$5/(1+$D31)^IF(Supuestos!$D$9=1,3,3-Supuestos!$D$83)+Valoracion!$I$5/(1+$D31)^IF(Supuestos!$D$9=1,4,4-Supuestos!$D$83)+Valoracion!$J$5/(1+$D31)^IF(Supuestos!$D$9=1,5,5-Supuestos!$D$83)+(H$23/($D31-H$27))/(1+$D31)^IF(Supuestos!$D$9=1,5,5-Supuestos!$D$83))</f>
        <v>17862.5728217225</v>
      </c>
      <c r="I31" s="40" t="n">
        <f aca="false">IF($D31-I$27&lt;=Supuestos!$D$88,"n/a",Valoracion!$F$5/(1+$D31)^IF(Supuestos!$D$9=1,1,1-Supuestos!$D$83)+Valoracion!$G$5/(1+$D31)^IF(Supuestos!$D$9=1,2,2-Supuestos!$D$83)+Valoracion!$H$5/(1+$D31)^IF(Supuestos!$D$9=1,3,3-Supuestos!$D$83)+Valoracion!$I$5/(1+$D31)^IF(Supuestos!$D$9=1,4,4-Supuestos!$D$83)+Valoracion!$J$5/(1+$D31)^IF(Supuestos!$D$9=1,5,5-Supuestos!$D$83)+(I$23/($D31-I$27))/(1+$D31)^IF(Supuestos!$D$9=1,5,5-Supuestos!$D$83))</f>
        <v>18410.6809793125</v>
      </c>
      <c r="J31" s="40" t="n">
        <f aca="false">IF($D31-J$27&lt;=Supuestos!$D$88,"n/a",Valoracion!$F$5/(1+$D31)^IF(Supuestos!$D$9=1,1,1-Supuestos!$D$83)+Valoracion!$G$5/(1+$D31)^IF(Supuestos!$D$9=1,2,2-Supuestos!$D$83)+Valoracion!$H$5/(1+$D31)^IF(Supuestos!$D$9=1,3,3-Supuestos!$D$83)+Valoracion!$I$5/(1+$D31)^IF(Supuestos!$D$9=1,4,4-Supuestos!$D$83)+Valoracion!$J$5/(1+$D31)^IF(Supuestos!$D$9=1,5,5-Supuestos!$D$83)+(J$23/($D31-J$27))/(1+$D31)^IF(Supuestos!$D$9=1,5,5-Supuestos!$D$83))</f>
        <v>19022.0943351955</v>
      </c>
    </row>
    <row r="32" customFormat="false" ht="15" hidden="false" customHeight="false" outlineLevel="0" collapsed="false">
      <c r="D32" s="11" t="n">
        <f aca="false">WACC!$D$28+Supuestos!$D$84*(2)</f>
        <v>0.13658185620915</v>
      </c>
      <c r="F32" s="40" t="n">
        <f aca="false">IF($D32-F$27&lt;=Supuestos!$D$88,"n/a",Valoracion!$F$5/(1+$D32)^IF(Supuestos!$D$9=1,1,1-Supuestos!$D$83)+Valoracion!$G$5/(1+$D32)^IF(Supuestos!$D$9=1,2,2-Supuestos!$D$83)+Valoracion!$H$5/(1+$D32)^IF(Supuestos!$D$9=1,3,3-Supuestos!$D$83)+Valoracion!$I$5/(1+$D32)^IF(Supuestos!$D$9=1,4,4-Supuestos!$D$83)+Valoracion!$J$5/(1+$D32)^IF(Supuestos!$D$9=1,5,5-Supuestos!$D$83)+(F$23/($D32-F$27))/(1+$D32)^IF(Supuestos!$D$9=1,5,5-Supuestos!$D$83))</f>
        <v>15369.9102571349</v>
      </c>
      <c r="G32" s="40" t="n">
        <f aca="false">IF($D32-G$27&lt;=Supuestos!$D$88,"n/a",Valoracion!$F$5/(1+$D32)^IF(Supuestos!$D$9=1,1,1-Supuestos!$D$83)+Valoracion!$G$5/(1+$D32)^IF(Supuestos!$D$9=1,2,2-Supuestos!$D$83)+Valoracion!$H$5/(1+$D32)^IF(Supuestos!$D$9=1,3,3-Supuestos!$D$83)+Valoracion!$I$5/(1+$D32)^IF(Supuestos!$D$9=1,4,4-Supuestos!$D$83)+Valoracion!$J$5/(1+$D32)^IF(Supuestos!$D$9=1,5,5-Supuestos!$D$83)+(G$23/($D32-G$27))/(1+$D32)^IF(Supuestos!$D$9=1,5,5-Supuestos!$D$83))</f>
        <v>15718.8389034824</v>
      </c>
      <c r="H32" s="40" t="n">
        <f aca="false">IF($D32-H$27&lt;=Supuestos!$D$88,"n/a",Valoracion!$F$5/(1+$D32)^IF(Supuestos!$D$9=1,1,1-Supuestos!$D$83)+Valoracion!$G$5/(1+$D32)^IF(Supuestos!$D$9=1,2,2-Supuestos!$D$83)+Valoracion!$H$5/(1+$D32)^IF(Supuestos!$D$9=1,3,3-Supuestos!$D$83)+Valoracion!$I$5/(1+$D32)^IF(Supuestos!$D$9=1,4,4-Supuestos!$D$83)+Valoracion!$J$5/(1+$D32)^IF(Supuestos!$D$9=1,5,5-Supuestos!$D$83)+(H$23/($D32-H$27))/(1+$D32)^IF(Supuestos!$D$9=1,5,5-Supuestos!$D$83))</f>
        <v>16100.5056404166</v>
      </c>
      <c r="I32" s="40" t="n">
        <f aca="false">IF($D32-I$27&lt;=Supuestos!$D$88,"n/a",Valoracion!$F$5/(1+$D32)^IF(Supuestos!$D$9=1,1,1-Supuestos!$D$83)+Valoracion!$G$5/(1+$D32)^IF(Supuestos!$D$9=1,2,2-Supuestos!$D$83)+Valoracion!$H$5/(1+$D32)^IF(Supuestos!$D$9=1,3,3-Supuestos!$D$83)+Valoracion!$I$5/(1+$D32)^IF(Supuestos!$D$9=1,4,4-Supuestos!$D$83)+Valoracion!$J$5/(1+$D32)^IF(Supuestos!$D$9=1,5,5-Supuestos!$D$83)+(I$23/($D32-I$27))/(1+$D32)^IF(Supuestos!$D$9=1,5,5-Supuestos!$D$83))</f>
        <v>16519.7447107554</v>
      </c>
      <c r="J32" s="40" t="n">
        <f aca="false">IF($D32-J$27&lt;=Supuestos!$D$88,"n/a",Valoracion!$F$5/(1+$D32)^IF(Supuestos!$D$9=1,1,1-Supuestos!$D$83)+Valoracion!$G$5/(1+$D32)^IF(Supuestos!$D$9=1,2,2-Supuestos!$D$83)+Valoracion!$H$5/(1+$D32)^IF(Supuestos!$D$9=1,3,3-Supuestos!$D$83)+Valoracion!$I$5/(1+$D32)^IF(Supuestos!$D$9=1,4,4-Supuestos!$D$83)+Valoracion!$J$5/(1+$D32)^IF(Supuestos!$D$9=1,5,5-Supuestos!$D$83)+(J$23/($D32-J$27))/(1+$D32)^IF(Supuestos!$D$9=1,5,5-Supuestos!$D$83))</f>
        <v>16982.391423771</v>
      </c>
    </row>
    <row r="33" customFormat="false" ht="15" hidden="false" customHeight="false" outlineLevel="0" collapsed="false">
      <c r="B33" s="3" t="s">
        <v>499</v>
      </c>
    </row>
    <row r="34" customFormat="false" ht="15" hidden="false" customHeight="false" outlineLevel="0" collapsed="false">
      <c r="B34" s="5" t="s">
        <v>500</v>
      </c>
      <c r="E34" s="7" t="n">
        <f aca="false">MIN(F28:J32)</f>
        <v>15369.9102571349</v>
      </c>
    </row>
    <row r="35" customFormat="false" ht="15" hidden="false" customHeight="false" outlineLevel="0" collapsed="false">
      <c r="B35" s="5" t="s">
        <v>501</v>
      </c>
      <c r="E35" s="7" t="n">
        <f aca="false">MAX(F28:J32)</f>
        <v>29488.9949293299</v>
      </c>
    </row>
    <row r="36" customFormat="false" ht="15" hidden="false" customHeight="false" outlineLevel="0" collapsed="false">
      <c r="B36" s="5" t="s">
        <v>502</v>
      </c>
      <c r="E36" s="37" t="n">
        <f aca="false">H30-Valoracion!$E$14</f>
        <v>0</v>
      </c>
    </row>
    <row r="38" customFormat="false" ht="15" hidden="false" customHeight="false" outlineLevel="0" collapsed="false">
      <c r="B38" s="5" t="str">
        <f aca="false">IF(Supuestos!$D$8=2,"ADVERTENCIA: la matriz está calculada bajo el método 1 (Gordon) y NO corresponde al método oficial seleccionado (value driver).","")</f>
        <v/>
      </c>
    </row>
  </sheetData>
  <sheetProtection sheet="true"/>
  <conditionalFormatting sqref="F28:J32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D4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58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11" min="5" style="0" width="12.5"/>
  </cols>
  <sheetData>
    <row r="2" customFormat="false" ht="15" hidden="false" customHeight="false" outlineLevel="0" collapsed="false">
      <c r="B2" s="1" t="s">
        <v>503</v>
      </c>
    </row>
    <row r="4" customFormat="false" ht="15" hidden="false" customHeight="false" outlineLevel="0" collapsed="false">
      <c r="C4" s="2" t="s">
        <v>504</v>
      </c>
      <c r="D4" s="2" t="s">
        <v>290</v>
      </c>
    </row>
    <row r="5" customFormat="false" ht="15" hidden="false" customHeight="false" outlineLevel="0" collapsed="false">
      <c r="B5" s="41" t="s">
        <v>505</v>
      </c>
      <c r="C5" s="42" t="n">
        <f aca="false">MAX(ABS(Modelo!E56),ABS(Modelo!F56),ABS(Modelo!G56),ABS(Modelo!H56),ABS(Modelo!I56),ABS(Modelo!J56),ABS(Modelo!K56))</f>
        <v>0</v>
      </c>
      <c r="D5" s="41" t="str">
        <f aca="false">IFERROR(IF(C5&lt;Supuestos!$D$87,"OK","ERROR"),"ERROR")</f>
        <v>OK</v>
      </c>
    </row>
    <row r="6" customFormat="false" ht="15" hidden="false" customHeight="false" outlineLevel="0" collapsed="false">
      <c r="B6" s="41" t="s">
        <v>506</v>
      </c>
      <c r="C6" s="42" t="n">
        <f aca="false">MAX(ABS(Modelo!F36-Modelo!F33),ABS(Modelo!J36-Modelo!J33))</f>
        <v>0</v>
      </c>
      <c r="D6" s="41" t="str">
        <f aca="false">IFERROR(IF(C6&lt;Supuestos!$D$87,"OK","ERROR"),"ERROR")</f>
        <v>OK</v>
      </c>
    </row>
    <row r="7" customFormat="false" ht="15" hidden="false" customHeight="false" outlineLevel="0" collapsed="false">
      <c r="B7" s="41" t="s">
        <v>507</v>
      </c>
      <c r="C7" s="42" t="n">
        <f aca="false">MAX(ABS(Modelo!F16-Modelo!F52),ABS(Modelo!K16-Modelo!K52))</f>
        <v>0</v>
      </c>
      <c r="D7" s="41" t="str">
        <f aca="false">IFERROR(IF(C7&lt;Supuestos!$D$87,"OK","ERROR"),"ERROR")</f>
        <v>OK</v>
      </c>
    </row>
    <row r="8" customFormat="false" ht="15" hidden="false" customHeight="false" outlineLevel="0" collapsed="false">
      <c r="B8" s="41" t="s">
        <v>508</v>
      </c>
      <c r="C8" s="42" t="n">
        <f aca="false">MAX(ABS(Modelo!F53-Modelo!E53-Modelo!F16-Modelo!F30),ABS(Modelo!J53-Modelo!I53-Modelo!J16-Modelo!J30),ABS(Modelo!K53-Modelo!J53-Modelo!K16-Modelo!K30))</f>
        <v>0</v>
      </c>
      <c r="D8" s="41" t="str">
        <f aca="false">IFERROR(IF(C8&lt;Supuestos!$D$87,"OK","ERROR"),"ERROR")</f>
        <v>OK</v>
      </c>
    </row>
    <row r="9" customFormat="false" ht="15" hidden="false" customHeight="false" outlineLevel="0" collapsed="false">
      <c r="B9" s="41" t="s">
        <v>509</v>
      </c>
      <c r="C9" s="42" t="n">
        <f aca="false">MAX(ABS(Modelo!E43-Deuda!E23),ABS(Modelo!F43-Deuda!F22),ABS(Modelo!J43-Deuda!J22),ABS(Modelo!K43-Deuda!K22))</f>
        <v>0</v>
      </c>
      <c r="D9" s="41" t="str">
        <f aca="false">IFERROR(IF(C9&lt;Supuestos!$D$87,"OK","ERROR"),"ERROR")</f>
        <v>OK</v>
      </c>
    </row>
    <row r="10" customFormat="false" ht="15" hidden="false" customHeight="false" outlineLevel="0" collapsed="false">
      <c r="B10" s="41" t="s">
        <v>510</v>
      </c>
      <c r="C10" s="42" t="n">
        <f aca="false">MAX(ABS(Modelo!F16-Modelo!F11-KTNO!F10-CAPEX!F7+(Modelo!F54-Modelo!E54)-(Modelo!F23+Modelo!F24+Deuda!F20+(Modelo!F44-Modelo!E44))),ABS(Modelo!J16-Modelo!J11-KTNO!J10-CAPEX!J7+(Modelo!J54-Modelo!I54)-(Modelo!J23+Modelo!J24+Deuda!J20+(Modelo!J44-Modelo!I44))))</f>
        <v>0</v>
      </c>
      <c r="D10" s="41" t="str">
        <f aca="false">IFERROR(IF(C10&lt;Supuestos!$D$87,"OK","ERROR"),"ERROR")</f>
        <v>OK</v>
      </c>
    </row>
    <row r="11" customFormat="false" ht="15" hidden="false" customHeight="false" outlineLevel="0" collapsed="false">
      <c r="B11" s="41" t="s">
        <v>511</v>
      </c>
      <c r="C11" s="43" t="n">
        <f aca="false">WACC!$D$28-Supuestos!$G$43</f>
        <v>0.0865818562091504</v>
      </c>
      <c r="D11" s="41" t="str">
        <f aca="false">IFERROR(IF(C11&gt;0,"OK","REVISAR"),"ERROR")</f>
        <v>OK</v>
      </c>
    </row>
    <row r="12" customFormat="false" ht="15" hidden="false" customHeight="false" outlineLevel="0" collapsed="false">
      <c r="B12" s="41" t="s">
        <v>512</v>
      </c>
      <c r="C12" s="43" t="n">
        <f aca="false">Supuestos!$D$74-Supuestos!$G$43</f>
        <v>0.0272</v>
      </c>
      <c r="D12" s="41" t="str">
        <f aca="false">IFERROR(IF(C12&gt;=0,"OK","REVISAR"),"ERROR")</f>
        <v>OK</v>
      </c>
    </row>
    <row r="13" customFormat="false" ht="15" hidden="false" customHeight="false" outlineLevel="0" collapsed="false">
      <c r="B13" s="41" t="s">
        <v>513</v>
      </c>
      <c r="C13" s="40" t="n">
        <f aca="false">Valoracion!$E$12</f>
        <v>24534.7410363732</v>
      </c>
      <c r="D13" s="41" t="str">
        <f aca="false">IFERROR(IF(C13&gt;=0,"OK","REVISAR"),"ERROR")</f>
        <v>OK</v>
      </c>
    </row>
    <row r="14" customFormat="false" ht="15" hidden="false" customHeight="false" outlineLevel="0" collapsed="false">
      <c r="B14" s="41" t="s">
        <v>514</v>
      </c>
      <c r="C14" s="40" t="n">
        <f aca="false">Modelo!K23</f>
        <v>2124.26342054001</v>
      </c>
      <c r="D14" s="41" t="str">
        <f aca="false">IFERROR(IF(C14&gt;0,"OK","REVISAR"),"ERROR")</f>
        <v>OK</v>
      </c>
    </row>
    <row r="15" customFormat="false" ht="15" hidden="false" customHeight="false" outlineLevel="0" collapsed="false">
      <c r="B15" s="41" t="s">
        <v>515</v>
      </c>
      <c r="C15" s="44" t="n">
        <f aca="false">Valoracion!$E$12*Valoracion!J6/Valoracion!$E$14</f>
        <v>0.705557996644817</v>
      </c>
      <c r="D15" s="41" t="str">
        <f aca="false">IFERROR(IF(AND(C15&gt;=0,C15&lt;=Supuestos!$D$86),"OK","REVISAR"),"ERROR")</f>
        <v>OK</v>
      </c>
    </row>
    <row r="16" customFormat="false" ht="15" hidden="false" customHeight="false" outlineLevel="0" collapsed="false">
      <c r="B16" s="41" t="s">
        <v>516</v>
      </c>
      <c r="C16" s="43" t="n">
        <f aca="false">Valoracion!$E$43-WACC!$D$28</f>
        <v>0.202371612398517</v>
      </c>
      <c r="D16" s="41" t="str">
        <f aca="false">IFERROR(IF(C16&gt;=0,"OK","REVISAR"),"ERROR")</f>
        <v>OK</v>
      </c>
    </row>
    <row r="17" customFormat="false" ht="15" hidden="false" customHeight="false" outlineLevel="0" collapsed="false">
      <c r="B17" s="41" t="s">
        <v>517</v>
      </c>
      <c r="C17" s="43" t="n">
        <f aca="false">Supuestos!$D$78-Valoracion!$E$43</f>
        <v>0.0310465313923324</v>
      </c>
      <c r="D17" s="41" t="str">
        <f aca="false">IFERROR(IF(C17&gt;=0,"OK","REVISAR"),"ERROR")</f>
        <v>OK</v>
      </c>
    </row>
    <row r="18" customFormat="false" ht="15" hidden="false" customHeight="false" outlineLevel="0" collapsed="false">
      <c r="B18" s="41" t="s">
        <v>518</v>
      </c>
      <c r="C18" s="42" t="n">
        <f aca="false">IF(AND(Supuestos!$D$8=1,Supuestos!$D$9=1),Sensibilidad!E36,0)</f>
        <v>0</v>
      </c>
      <c r="D18" s="41" t="str">
        <f aca="false">IFERROR(IF(ABS(C18)&lt;Supuestos!$D$89,"OK","REVISAR"),"ERROR")</f>
        <v>OK</v>
      </c>
    </row>
    <row r="19" customFormat="false" ht="15" hidden="false" customHeight="false" outlineLevel="0" collapsed="false">
      <c r="B19" s="41" t="s">
        <v>519</v>
      </c>
      <c r="C19" s="42" t="n">
        <f aca="false">Valoracion!$E$29-Valoracion!$E$14-SUM(Valoracion!D18:D28)</f>
        <v>0</v>
      </c>
      <c r="D19" s="41" t="str">
        <f aca="false">IFERROR(IF(ABS(C19)&lt;Supuestos!$D$87,"OK","ERROR"),"ERROR")</f>
        <v>OK</v>
      </c>
    </row>
    <row r="20" customFormat="false" ht="15" hidden="false" customHeight="false" outlineLevel="0" collapsed="false">
      <c r="B20" s="41" t="s">
        <v>520</v>
      </c>
      <c r="C20" s="42" t="n">
        <f aca="false">Resumen!D15-Valoracion!$E$14</f>
        <v>0</v>
      </c>
      <c r="D20" s="41" t="str">
        <f aca="false">IFERROR(IF(ABS(C20)&lt;Supuestos!$D$87,"OK","REVISAR"),"ERROR")</f>
        <v>OK</v>
      </c>
    </row>
    <row r="21" customFormat="false" ht="15" hidden="false" customHeight="false" outlineLevel="0" collapsed="false">
      <c r="B21" s="41" t="s">
        <v>521</v>
      </c>
      <c r="C21" s="44" t="n">
        <f aca="false">Multiplos!F19</f>
        <v>1</v>
      </c>
      <c r="D21" s="41" t="str">
        <f aca="false">IFERROR(IF(ABS(C21-1)&lt;Supuestos!$D$88,"OK","REVISAR"),"ERROR")</f>
        <v>OK</v>
      </c>
    </row>
    <row r="22" customFormat="false" ht="15" hidden="false" customHeight="false" outlineLevel="0" collapsed="false">
      <c r="B22" s="41" t="s">
        <v>522</v>
      </c>
      <c r="C22" s="44" t="n">
        <f aca="false">WACC!D26+WACC!D27</f>
        <v>1</v>
      </c>
      <c r="D22" s="41" t="str">
        <f aca="false">IFERROR(IF(ABS(C22-1)&lt;Supuestos!$D$88,"OK","REVISAR"),"ERROR")</f>
        <v>OK</v>
      </c>
    </row>
    <row r="23" customFormat="false" ht="15" hidden="false" customHeight="false" outlineLevel="0" collapsed="false">
      <c r="B23" s="41" t="s">
        <v>523</v>
      </c>
      <c r="C23" s="42" t="n">
        <f aca="false">WACC!D27/WACC!D26-WACC!D14</f>
        <v>0</v>
      </c>
      <c r="D23" s="41" t="str">
        <f aca="false">IFERROR(IF(ABS(C23)&lt;Supuestos!$D$88,"OK","REVISAR"),"ERROR")</f>
        <v>OK</v>
      </c>
    </row>
    <row r="24" customFormat="false" ht="15" hidden="false" customHeight="false" outlineLevel="0" collapsed="false">
      <c r="B24" s="41" t="s">
        <v>524</v>
      </c>
      <c r="C24" s="45" t="n">
        <f aca="false">COUNTIF(WACC!L5:L22,"REVISAR")-2+COUNTIF(WACC!L5:L22,"ERROR")+COUNTIF(WACC!L5:L22,"SIN FUENTE")</f>
        <v>0</v>
      </c>
      <c r="D24" s="41" t="str">
        <f aca="false">IFERROR(IF(C24=0,"OK","REVISAR"),"ERROR")</f>
        <v>OK</v>
      </c>
    </row>
    <row r="25" customFormat="false" ht="15" hidden="false" customHeight="false" outlineLevel="0" collapsed="false">
      <c r="B25" s="41" t="s">
        <v>525</v>
      </c>
      <c r="C25" s="45" t="n">
        <f aca="false">COUNTIF(WACC!L5:L22,"SIN FUENTE")+COUNTIF(WACC!L5:L22,"ERROR")</f>
        <v>0</v>
      </c>
      <c r="D25" s="41" t="str">
        <f aca="false">IFERROR(IF(C25=0,"OK","ERROR"),"ERROR")</f>
        <v>OK</v>
      </c>
    </row>
    <row r="26" customFormat="false" ht="15" hidden="false" customHeight="false" outlineLevel="0" collapsed="false">
      <c r="B26" s="41" t="s">
        <v>526</v>
      </c>
      <c r="C26" s="45" t="n">
        <f aca="false">SUMPRODUCT((WACC!F5:F22&lt;&gt;"")*(WACC!F5:F22&gt;WACC!$F$3))+SUMPRODUCT((WACC!G5:G22&lt;&gt;"")*(WACC!G5:G22&gt;WACC!$F$3))</f>
        <v>0</v>
      </c>
      <c r="D26" s="41" t="str">
        <f aca="false">IFERROR(IF(C26=0,"OK","ERROR"),"ERROR")</f>
        <v>OK</v>
      </c>
    </row>
    <row r="27" customFormat="false" ht="15" hidden="false" customHeight="false" outlineLevel="0" collapsed="false">
      <c r="B27" s="41" t="s">
        <v>527</v>
      </c>
      <c r="C27" s="40" t="n">
        <f aca="false">MIN(Modelo!E33:K33)</f>
        <v>1200</v>
      </c>
      <c r="D27" s="41" t="str">
        <f aca="false">IFERROR(IF(C27&gt;=0,"OK","REVISAR"),"ERROR")</f>
        <v>OK</v>
      </c>
    </row>
    <row r="28" customFormat="false" ht="15" hidden="false" customHeight="false" outlineLevel="0" collapsed="false">
      <c r="B28" s="41" t="s">
        <v>528</v>
      </c>
      <c r="C28" s="42" t="n">
        <f aca="false">MIN(Modelo!E33-Modelo!E5*Supuestos!$D$67,Modelo!F33-Modelo!F5*Supuestos!$D$67,Modelo!G33-Modelo!G5*Supuestos!$D$67,Modelo!H33-Modelo!H5*Supuestos!$D$67,Modelo!I33-Modelo!I5*Supuestos!$D$67,Modelo!J33-Modelo!J5*Supuestos!$D$67,Modelo!K33-Modelo!K5*Supuestos!$D$67)</f>
        <v>0</v>
      </c>
      <c r="D28" s="41" t="str">
        <f aca="false">IFERROR(IF(C28&gt;=-Supuestos!$D$87,"OK","REVISAR"),"ERROR")</f>
        <v>OK</v>
      </c>
    </row>
    <row r="29" customFormat="false" ht="15" hidden="false" customHeight="false" outlineLevel="0" collapsed="false">
      <c r="B29" s="41" t="s">
        <v>529</v>
      </c>
      <c r="C29" s="42" t="n">
        <f aca="false">IF(Modelo!J44&gt;0,Modelo!J33-Modelo!J5*Supuestos!$D$67,0)</f>
        <v>0</v>
      </c>
      <c r="D29" s="41" t="str">
        <f aca="false">IFERROR(IF(ABS(C29)&lt;Supuestos!$D$87,"OK","REVISAR"),"ERROR")</f>
        <v>OK</v>
      </c>
    </row>
    <row r="30" customFormat="false" ht="15" hidden="false" customHeight="false" outlineLevel="0" collapsed="false">
      <c r="B30" s="5" t="s">
        <v>530</v>
      </c>
      <c r="C30" s="7" t="n">
        <f aca="false">Supuestos!$D$70-MAX(Modelo!E44:K44)</f>
        <v>3000</v>
      </c>
      <c r="D30" s="5" t="str">
        <f aca="false">IFERROR(IF(C30&gt;=0,"OK","REVISAR"),"ERROR")</f>
        <v>OK</v>
      </c>
    </row>
    <row r="31" customFormat="false" ht="15" hidden="false" customHeight="false" outlineLevel="0" collapsed="false">
      <c r="B31" s="5" t="s">
        <v>531</v>
      </c>
      <c r="C31" s="7" t="n">
        <f aca="false">MIN(Deuda!F7:K7,Deuda!F12:K12,Deuda!F17:K17)</f>
        <v>0</v>
      </c>
      <c r="D31" s="5" t="str">
        <f aca="false">IFERROR(IF(C31&gt;=-Supuestos!$D$87,"OK","REVISAR"),"ERROR")</f>
        <v>OK</v>
      </c>
    </row>
    <row r="32" customFormat="false" ht="15" hidden="false" customHeight="false" outlineLevel="0" collapsed="false">
      <c r="B32" s="5" t="s">
        <v>532</v>
      </c>
      <c r="C32" s="12" t="n">
        <f aca="false">MIN(Supuestos!$D$52-Supuestos!$D$53,Supuestos!$D$56-Supuestos!$D$57,Supuestos!$D$60-Supuestos!$D$61)</f>
        <v>5</v>
      </c>
      <c r="D32" s="5" t="str">
        <f aca="false">IFERROR(IF(C32&gt;0,"OK","REVISAR"),"ERROR")</f>
        <v>OK</v>
      </c>
    </row>
    <row r="33" customFormat="false" ht="15" hidden="false" customHeight="false" outlineLevel="0" collapsed="false">
      <c r="B33" s="5" t="s">
        <v>533</v>
      </c>
      <c r="C33" s="38" t="n">
        <f aca="false">IF(ISNUMBER(Indicadores!F13),Indicadores!F13-Supuestos!$D$71,"s/d")</f>
        <v>6.47214285714285</v>
      </c>
      <c r="D33" s="5" t="str">
        <f aca="false">IFERROR(IF(C33="s/d","N/A",IF(C33&gt;=0,"OK","REVISAR")),"ERROR")</f>
        <v>OK</v>
      </c>
    </row>
    <row r="34" customFormat="false" ht="15" hidden="false" customHeight="false" outlineLevel="0" collapsed="false">
      <c r="B34" s="5" t="s">
        <v>534</v>
      </c>
      <c r="C34" s="38" t="n">
        <f aca="false">IF(COUNT(Indicadores!F14:J14)=0,"s/d",Supuestos!$D$72-MAX(Indicadores!F14:J14))</f>
        <v>2.91007300346582</v>
      </c>
      <c r="D34" s="5" t="str">
        <f aca="false">IFERROR(IF(C34="s/d","N/A",IF(C34&gt;=0,"OK","REVISAR")),"ERROR")</f>
        <v>OK</v>
      </c>
    </row>
    <row r="35" customFormat="false" ht="15" hidden="false" customHeight="false" outlineLevel="0" collapsed="false">
      <c r="B35" s="5" t="s">
        <v>535</v>
      </c>
      <c r="C35" s="38" t="n">
        <f aca="false">IF(COUNT(Indicadores!F16:J16)=0,"s/d",MIN(Indicadores!F16:J16)-Supuestos!$D$73)</f>
        <v>0.691832307683818</v>
      </c>
      <c r="D35" s="5" t="str">
        <f aca="false">IFERROR(IF(C35="s/d","N/A",IF(C35&gt;=0,"OK","REVISAR")),"ERROR")</f>
        <v>OK</v>
      </c>
    </row>
    <row r="36" customFormat="false" ht="15" hidden="false" customHeight="false" outlineLevel="0" collapsed="false">
      <c r="B36" s="5" t="s">
        <v>536</v>
      </c>
      <c r="C36" s="7" t="n">
        <f aca="false">CAPEX!K7-CAPEX!K17</f>
        <v>87</v>
      </c>
      <c r="D36" s="5" t="str">
        <f aca="false">IFERROR(IF(C36&gt;=-Supuestos!$D$87,"OK","REVISAR"),"ERROR")</f>
        <v>OK</v>
      </c>
    </row>
    <row r="37" customFormat="false" ht="15" hidden="false" customHeight="false" outlineLevel="0" collapsed="false">
      <c r="B37" s="5" t="s">
        <v>537</v>
      </c>
      <c r="C37" s="7" t="n">
        <f aca="false">MIN(CAPEX!E19-CAPEX!E20,CAPEX!K19-CAPEX!K20)</f>
        <v>2987</v>
      </c>
      <c r="D37" s="5" t="str">
        <f aca="false">IFERROR(IF(C37&gt;=-Supuestos!$D$87,"OK","REVISAR"),"ERROR")</f>
        <v>OK</v>
      </c>
    </row>
    <row r="38" customFormat="false" ht="15" hidden="false" customHeight="false" outlineLevel="0" collapsed="false">
      <c r="B38" s="5" t="s">
        <v>538</v>
      </c>
      <c r="C38" s="12" t="n">
        <f aca="false">COUNT(Supuestos!D14:F16)+COUNT(Supuestos!D18:F20)+COUNT(Supuestos!D22:F24)+COUNT(Supuestos!D26:F28)+COUNT(Supuestos!D30:F32)+COUNT(Supuestos!D35:F43)</f>
        <v>72</v>
      </c>
      <c r="D38" s="5" t="str">
        <f aca="false">IFERROR(IF(C38=COLUMNS(Supuestos!$D$4:$F$4)*(5*ROWS(Supuestos!$D$14:$D$16)+ROWS(Supuestos!$D$35:$D$43)),"OK","REVISAR"),"ERROR")</f>
        <v>OK</v>
      </c>
    </row>
    <row r="39" customFormat="false" ht="15" hidden="false" customHeight="false" outlineLevel="0" collapsed="false">
      <c r="B39" s="5" t="s">
        <v>539</v>
      </c>
      <c r="C39" s="12" t="n">
        <f aca="false">COUNT(Supuestos!D46,Supuestos!D47,Supuestos!D48,Supuestos!D49,Supuestos!D63,Supuestos!D64,Supuestos!D65,Supuestos!D66,Supuestos!D67,Supuestos!D68,Supuestos!D69,Supuestos!D70,Supuestos!D71,Supuestos!D72,Supuestos!D73,Supuestos!D74,Supuestos!D77,Supuestos!D78,Supuestos!D82,Supuestos!D83,Supuestos!D84,Supuestos!D85,Supuestos!D86,Supuestos!D87,Supuestos!D88,Supuestos!D89,Supuestos!D51,Supuestos!D52,Supuestos!D53,Supuestos!D55,Supuestos!D56,Supuestos!D57,Supuestos!D59,Supuestos!D60,Supuestos!D61,Supuestos!D58,Supuestos!D62)-Supuestos!$D$79</f>
        <v>0</v>
      </c>
      <c r="D39" s="5" t="str">
        <f aca="false">IFERROR(IF(C39=0,"OK","REVISAR"),"ERROR")</f>
        <v>OK</v>
      </c>
    </row>
    <row r="40" customFormat="false" ht="15" hidden="false" customHeight="false" outlineLevel="0" collapsed="false">
      <c r="B40" s="5" t="s">
        <v>540</v>
      </c>
      <c r="C40" s="7" t="n">
        <f aca="false">Supuestos!$D$13+Supuestos!$D$17+Supuestos!$D$21+Supuestos!$D$25+Supuestos!$D$29</f>
        <v>40000</v>
      </c>
      <c r="D40" s="5" t="str">
        <f aca="false">IFERROR(IF(C40&gt;0,"OK","REVISAR"),"ERROR")</f>
        <v>OK</v>
      </c>
    </row>
    <row r="41" customFormat="false" ht="15" hidden="false" customHeight="false" outlineLevel="0" collapsed="false">
      <c r="B41" s="5" t="s">
        <v>541</v>
      </c>
      <c r="C41" s="12" t="n">
        <f aca="false">IF(AND(Supuestos!$D$4&gt;=1,Supuestos!$D$4&lt;=3,Supuestos!$D$5&gt;=1,Supuestos!$D$5&lt;=4,OR(Supuestos!$D$8=1,Supuestos!$D$8=2),OR(Supuestos!$D$9=1,Supuestos!$D$9=2)),1,0)</f>
        <v>1</v>
      </c>
      <c r="D41" s="5" t="str">
        <f aca="false">IFERROR(IF(C41=1,"OK","REVISAR"),"ERROR")</f>
        <v>OK</v>
      </c>
    </row>
    <row r="42" customFormat="false" ht="15" hidden="false" customHeight="false" outlineLevel="0" collapsed="false">
      <c r="B42" s="5" t="s">
        <v>542</v>
      </c>
      <c r="C42" s="12" t="n">
        <f aca="false">IF(AND(OR(Supuestos!$D$7=1,Supuestos!$D$7=1000,Supuestos!$D$7=1000000,Supuestos!$D$7=1000000000),Supuestos!$D$6&lt;&gt;""),1,0)</f>
        <v>1</v>
      </c>
      <c r="D42" s="5" t="str">
        <f aca="false">IFERROR(IF(C42=1,"OK","REVISAR"),"ERROR")</f>
        <v>OK</v>
      </c>
    </row>
    <row r="43" customFormat="false" ht="15" hidden="false" customHeight="false" outlineLevel="0" collapsed="false">
      <c r="B43" s="5" t="s">
        <v>543</v>
      </c>
      <c r="C43" s="12" t="n">
        <f aca="false">SUMPRODUCT((Modelo!E5:K56&lt;&gt;"")*(1-_xlfn.ISFORMULA(Modelo!E5:K56)))+SUMPRODUCT((Indicadores!E5:K17&lt;&gt;"")*(1-_xlfn.ISFORMULA(Indicadores!E5:K17)))</f>
        <v>0</v>
      </c>
      <c r="D43" s="5" t="str">
        <f aca="false">IFERROR(IF(C43=0,"OK","ERROR"),"N/A")</f>
        <v>OK</v>
      </c>
    </row>
    <row r="44" customFormat="false" ht="15" hidden="false" customHeight="false" outlineLevel="0" collapsed="false">
      <c r="B44" s="5" t="s">
        <v>544</v>
      </c>
      <c r="C44" s="12" t="n">
        <f aca="false">SUMPRODUCT(--ISERROR(Modelo!E5:K56))+SUMPRODUCT(--ISERROR(Valoracion!E5:K14))+SUMPRODUCT(--ISERROR(Valoracion!E38:F49))+SUMPRODUCT(--ISERROR(Sensibilidad!F28:J32))+SUMPRODUCT(--ISERROR(Indicadores!E5:K17))+SUMPRODUCT(--ISERROR(Multiplos!Q6:W10))</f>
        <v>0</v>
      </c>
      <c r="D44" s="5" t="str">
        <f aca="false">IFERROR(IF(C44=0,"OK","REVISAR"),"ERROR")</f>
        <v>OK</v>
      </c>
    </row>
    <row r="46" customFormat="false" ht="15" hidden="false" customHeight="false" outlineLevel="0" collapsed="false">
      <c r="B46" s="3" t="s">
        <v>545</v>
      </c>
    </row>
  </sheetData>
  <sheetProtection sheet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3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6"/>
    <col collapsed="false" customWidth="true" hidden="false" outlineLevel="0" max="3" min="3" style="0" width="10"/>
    <col collapsed="false" customWidth="true" hidden="false" outlineLevel="0" max="5" min="4" style="0" width="15"/>
    <col collapsed="false" customWidth="true" hidden="false" outlineLevel="0" max="11" min="6" style="0" width="12.5"/>
  </cols>
  <sheetData>
    <row r="2" customFormat="false" ht="15" hidden="false" customHeight="false" outlineLevel="0" collapsed="false">
      <c r="B2" s="1" t="s">
        <v>546</v>
      </c>
    </row>
    <row r="4" customFormat="false" ht="15" hidden="false" customHeight="false" outlineLevel="0" collapsed="false">
      <c r="B4" s="5" t="s">
        <v>547</v>
      </c>
      <c r="D4" s="46" t="n">
        <f aca="false">Supuestos!$D$4</f>
        <v>1</v>
      </c>
      <c r="E4" s="5" t="str">
        <f aca="false">CHOOSE(Supuestos!$D$4,"BASE","OPTIMISTA","ADVERSO")</f>
        <v>BASE</v>
      </c>
    </row>
    <row r="5" customFormat="false" ht="15" hidden="false" customHeight="false" outlineLevel="0" collapsed="false">
      <c r="B5" s="5" t="s">
        <v>548</v>
      </c>
      <c r="D5" s="19" t="str">
        <f aca="false">Supuestos!$D$6</f>
        <v>Millones de COP</v>
      </c>
    </row>
    <row r="7" customFormat="false" ht="15" hidden="false" customHeight="false" outlineLevel="0" collapsed="false">
      <c r="B7" s="8" t="s">
        <v>549</v>
      </c>
    </row>
    <row r="8" customFormat="false" ht="15" hidden="false" customHeight="false" outlineLevel="0" collapsed="false">
      <c r="B8" s="5" t="s">
        <v>203</v>
      </c>
      <c r="D8" s="22" t="n">
        <f aca="false">Modelo!F5</f>
        <v>43680</v>
      </c>
    </row>
    <row r="9" customFormat="false" ht="15" hidden="false" customHeight="false" outlineLevel="0" collapsed="false">
      <c r="B9" s="5" t="s">
        <v>433</v>
      </c>
      <c r="D9" s="22" t="n">
        <f aca="false">Modelo!F10</f>
        <v>2712.2</v>
      </c>
    </row>
    <row r="10" customFormat="false" ht="15" hidden="false" customHeight="false" outlineLevel="0" collapsed="false">
      <c r="B10" s="5" t="s">
        <v>460</v>
      </c>
      <c r="D10" s="21" t="n">
        <f aca="false">Indicadores!F5</f>
        <v>0.0620924908424908</v>
      </c>
    </row>
    <row r="11" customFormat="false" ht="15" hidden="false" customHeight="false" outlineLevel="0" collapsed="false">
      <c r="B11" s="5" t="s">
        <v>550</v>
      </c>
      <c r="D11" s="22" t="n">
        <f aca="false">Modelo!F16</f>
        <v>1359.93</v>
      </c>
    </row>
    <row r="12" customFormat="false" ht="15" hidden="false" customHeight="false" outlineLevel="0" collapsed="false">
      <c r="B12" s="5" t="s">
        <v>551</v>
      </c>
      <c r="D12" s="22" t="n">
        <f aca="false">Modelo!F23</f>
        <v>1286.445969225</v>
      </c>
    </row>
    <row r="13" customFormat="false" ht="15" hidden="false" customHeight="false" outlineLevel="0" collapsed="false">
      <c r="B13" s="5" t="s">
        <v>552</v>
      </c>
      <c r="D13" s="22" t="n">
        <f aca="false">Modelo!F33</f>
        <v>1454.065969225</v>
      </c>
    </row>
    <row r="14" customFormat="false" ht="15" hidden="false" customHeight="false" outlineLevel="0" collapsed="false">
      <c r="B14" s="5" t="s">
        <v>553</v>
      </c>
      <c r="D14" s="32" t="n">
        <f aca="false">WACC!$D$28</f>
        <v>0.11658185620915</v>
      </c>
    </row>
    <row r="15" customFormat="false" ht="15" hidden="false" customHeight="false" outlineLevel="0" collapsed="false">
      <c r="B15" s="2" t="s">
        <v>554</v>
      </c>
      <c r="D15" s="22" t="n">
        <f aca="false">Valoracion!$E$14</f>
        <v>20035.3035736829</v>
      </c>
    </row>
    <row r="16" customFormat="false" ht="15" hidden="false" customHeight="false" outlineLevel="0" collapsed="false">
      <c r="B16" s="2" t="s">
        <v>555</v>
      </c>
      <c r="D16" s="22" t="n">
        <f aca="false">Valoracion!$E$29</f>
        <v>18035.3035736829</v>
      </c>
    </row>
    <row r="17" customFormat="false" ht="15" hidden="false" customHeight="false" outlineLevel="0" collapsed="false">
      <c r="B17" s="2" t="s">
        <v>409</v>
      </c>
      <c r="D17" s="22" t="n">
        <f aca="false">Valoracion!$E$35</f>
        <v>3607060.71473657</v>
      </c>
    </row>
    <row r="19" customFormat="false" ht="15" hidden="false" customHeight="false" outlineLevel="0" collapsed="false">
      <c r="B19" s="8" t="s">
        <v>556</v>
      </c>
    </row>
    <row r="20" customFormat="false" ht="15" hidden="false" customHeight="false" outlineLevel="0" collapsed="false">
      <c r="B20" s="5" t="s">
        <v>557</v>
      </c>
      <c r="D20" s="22" t="n">
        <f aca="false">Valoracion!$E$45</f>
        <v>20035.3035736829</v>
      </c>
      <c r="E20" s="22" t="n">
        <f aca="false">Valoracion!$E$46</f>
        <v>17487.6485838137</v>
      </c>
    </row>
    <row r="21" customFormat="false" ht="15" hidden="false" customHeight="false" outlineLevel="0" collapsed="false">
      <c r="B21" s="5" t="s">
        <v>558</v>
      </c>
      <c r="D21" s="5" t="str">
        <f aca="false">CHOOSE(Supuestos!$D$8,"FCLO del modelo","ROIC objetivo")</f>
        <v>FCLO del modelo</v>
      </c>
    </row>
    <row r="22" customFormat="false" ht="15" hidden="false" customHeight="false" outlineLevel="0" collapsed="false">
      <c r="B22" s="5" t="s">
        <v>559</v>
      </c>
      <c r="D22" s="11" t="n">
        <f aca="false">Valoracion!$E$12*Valoracion!J6/Valoracion!$E$14</f>
        <v>0.705557996644817</v>
      </c>
    </row>
    <row r="23" customFormat="false" ht="15" hidden="false" customHeight="false" outlineLevel="0" collapsed="false">
      <c r="B23" s="5" t="s">
        <v>560</v>
      </c>
      <c r="D23" s="21" t="n">
        <f aca="false">Valoracion!$E$43</f>
        <v>0.318953468607668</v>
      </c>
      <c r="E23" s="19" t="str">
        <f aca="false">Valoracion!$E$44</f>
        <v>OK: ROIC terminal &gt;= WACC</v>
      </c>
    </row>
    <row r="25" customFormat="false" ht="15" hidden="false" customHeight="false" outlineLevel="0" collapsed="false">
      <c r="B25" s="8" t="s">
        <v>561</v>
      </c>
    </row>
    <row r="26" customFormat="false" ht="15" hidden="false" customHeight="false" outlineLevel="0" collapsed="false">
      <c r="B26" s="5" t="s">
        <v>562</v>
      </c>
      <c r="D26" s="47" t="n">
        <f aca="false">IF(COUNT(Indicadores!F16:J16)=0,"N/A",MIN(Indicadores!F16:J16))</f>
        <v>1.89183230768382</v>
      </c>
    </row>
    <row r="27" customFormat="false" ht="15" hidden="false" customHeight="false" outlineLevel="0" collapsed="false">
      <c r="B27" s="5" t="s">
        <v>563</v>
      </c>
      <c r="D27" s="47" t="n">
        <f aca="false">IF(COUNT(Indicadores!F13:J13)=0,"N/A",MIN(Indicadores!F13:J13))</f>
        <v>8.47214285714285</v>
      </c>
    </row>
    <row r="28" customFormat="false" ht="15" hidden="false" customHeight="false" outlineLevel="0" collapsed="false">
      <c r="B28" s="5" t="s">
        <v>564</v>
      </c>
      <c r="D28" s="11" t="n">
        <f aca="false">IFERROR(MAX(Modelo!E44:K44)/Supuestos!$D$70,0)</f>
        <v>0</v>
      </c>
    </row>
    <row r="29" customFormat="false" ht="15" hidden="false" customHeight="false" outlineLevel="0" collapsed="false">
      <c r="B29" s="5" t="s">
        <v>565</v>
      </c>
      <c r="D29" s="22" t="n">
        <f aca="false">Sensibilidad!E34</f>
        <v>15369.9102571349</v>
      </c>
      <c r="E29" s="22" t="n">
        <f aca="false">Sensibilidad!E35</f>
        <v>29488.9949293299</v>
      </c>
    </row>
    <row r="31" customFormat="false" ht="15" hidden="false" customHeight="false" outlineLevel="0" collapsed="false">
      <c r="B31" s="8" t="s">
        <v>566</v>
      </c>
    </row>
    <row r="32" customFormat="false" ht="15" hidden="false" customHeight="false" outlineLevel="0" collapsed="false">
      <c r="B32" s="5" t="str">
        <f aca="false">IF(NOT(ISNUMBER(D26)),"1. Sin deuda financiera: no hay servicio que cubrir.",IF(D26&gt;=1,"1. DSCR ≥ 1,0x: el flujo cubre el servicio de la deuda.","1. DSCR &lt; 1,0x: el calendario de deuda no es compatible con la caja; evaluar plazo/gracia."))</f>
        <v>1. DSCR ≥ 1,0x: el flujo cubre el servicio de la deuda.</v>
      </c>
    </row>
    <row r="33" customFormat="false" ht="15" hidden="false" customHeight="false" outlineLevel="0" collapsed="false">
      <c r="B33" s="5" t="str">
        <f aca="false">IF(Valoracion!$E$43&gt;=WACC!$D$28,"2. El crecimiento terminal crea valor (ROIC ≥ WACC).","2. ALERTA: el crecimiento terminal destruye valor (ROIC &lt; WACC).")</f>
        <v>2. El crecimiento terminal crea valor (ROIC ≥ WACC).</v>
      </c>
    </row>
    <row r="34" customFormat="false" ht="15" hidden="false" customHeight="false" outlineLevel="0" collapsed="false">
      <c r="B34" s="5" t="str">
        <f aca="false">IF(D28&gt;0,"3. El revólver se utiliza: revisar liquidez.","3. El revólver no se utiliza en el escenario activo.")</f>
        <v>3. El revólver no se utiliza en el escenario activo.</v>
      </c>
    </row>
    <row r="35" customFormat="false" ht="15" hidden="false" customHeight="false" outlineLevel="0" collapsed="false">
      <c r="B35" s="5" t="str">
        <f aca="false">"4. Validar parámetros de mercado del WACC a la fecha de valoración ("&amp;Supuestos!$D$76&amp;")."</f>
        <v>4. Validar parámetros de mercado del WACC a la fecha de valoración (46213).</v>
      </c>
    </row>
  </sheetData>
  <sheetProtection sheet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2026-07-19T02:22:01Z</dcterms:created>
  <dc:creator>Finanzas Corporativas</dc:creator>
  <dc:description>Modelo general de valoración DCF, estándar FAST, escalable por segmentos, tramos y escala de unidades.</dc:description>
  <dc:language>en-US</dc:language>
  <cp:lastModifiedBy/>
  <dcterms:modified xsi:type="dcterms:W3CDTF">2026-07-19T02:22:01Z</dcterms:modified>
  <cp:revision>0</cp:revision>
  <dc:subject/>
  <dc:title>Modelo de Valoración FAST — Versión 1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