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5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éame" sheetId="1" state="visible" r:id="rId3"/>
    <sheet name="Supuestos" sheetId="2" state="visible" r:id="rId4"/>
    <sheet name="Comparables" sheetId="3" state="visible" r:id="rId5"/>
    <sheet name="Múltiplo fundamental" sheetId="4" state="visible" r:id="rId6"/>
    <sheet name="Triangulación" sheetId="5" state="visible" r:id="rId7"/>
    <sheet name="Controles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<sst xmlns="http://schemas.openxmlformats.org/spreadsheetml/2006/main" count="216" uniqueCount="187">
  <si>
    <t xml:space="preserve">Valoración por Múltiplos — Modelo del caso «Empresa Andina S.A.»</t>
  </si>
  <si>
    <t xml:space="preserve">Complemento del Manual de buenas prácticas. Caso ILUSTRATIVO; cifras ficticias en COP miles de millones.</t>
  </si>
  <si>
    <t xml:space="preserve">Código de colores</t>
  </si>
  <si>
    <t xml:space="preserve">Azul = dato de entrada / supuesto editable</t>
  </si>
  <si>
    <t xml:space="preserve">Negro = fórmula (cálculo)</t>
  </si>
  <si>
    <t xml:space="preserve">Verde = enlace a otra hoja</t>
  </si>
  <si>
    <t xml:space="preserve">Relleno amarillo = supuesto clave a revisar</t>
  </si>
  <si>
    <t xml:space="preserve">Hojas</t>
  </si>
  <si>
    <t xml:space="preserve">Supuestos</t>
  </si>
  <si>
    <t xml:space="preserve">Todas las entradas (operativas, capital, mercado y transacciones).</t>
  </si>
  <si>
    <t xml:space="preserve">Comparables</t>
  </si>
  <si>
    <t xml:space="preserve">Pares con fundamentales, distinción outlier/N/M y estadística.</t>
  </si>
  <si>
    <t xml:space="preserve">Múltiplo fundamental</t>
  </si>
  <si>
    <t xml:space="preserve">WACC, FCFF, EV, múltiplo justificado y sensibilidad (numerador variable).</t>
  </si>
  <si>
    <t xml:space="preserve">Triangulación</t>
  </si>
  <si>
    <t xml:space="preserve">Puente EV→Equity, football field y solapamiento calculado.</t>
  </si>
  <si>
    <t xml:space="preserve">Controles</t>
  </si>
  <si>
    <t xml:space="preserve">Chequeos automáticos de consistencia.</t>
  </si>
  <si>
    <t xml:space="preserve">Notas</t>
  </si>
  <si>
    <t xml:space="preserve">• El modelo recalcula al cambiar los supuestos (azules). Las figuras del manual usan cifras redondeadas.</t>
  </si>
  <si>
    <t xml:space="preserve">• N/M = denominador negativo/≈0 (sin interpretación). Outlier = múltiplo válido pero extremo, excluido por regla.</t>
  </si>
  <si>
    <t xml:space="preserve">• Riesgo país Colombia: corte enero 2026 (Damodaran). Reemplazar por la actualización de julio 2026 al aplicar.</t>
  </si>
  <si>
    <t xml:space="preserve">• Múltiplos de transacciones y rangos: ilustrativos; en un caso real, citar operación, fecha, geografía y sinergias.</t>
  </si>
  <si>
    <t xml:space="preserve">Edición · Julio 2026 · Proyecto Valoración de empresa</t>
  </si>
  <si>
    <t xml:space="preserve">Supuestos del caso</t>
  </si>
  <si>
    <t xml:space="preserve">Edite solo celdas azules. COP miles de millones salvo indicación. Un ÚNICO set de supuestos alimenta todo el modelo y el manual.</t>
  </si>
  <si>
    <t xml:space="preserve">Parámetro</t>
  </si>
  <si>
    <t xml:space="preserve">Valor</t>
  </si>
  <si>
    <t xml:space="preserve">Nota / fuente</t>
  </si>
  <si>
    <t xml:space="preserve">Operativos</t>
  </si>
  <si>
    <t xml:space="preserve">EBITDA normalizado</t>
  </si>
  <si>
    <t xml:space="preserve">Depurado de no recurrentes</t>
  </si>
  <si>
    <t xml:space="preserve">Depreciación y amortización (D&amp;A)</t>
  </si>
  <si>
    <t xml:space="preserve">Para derivar EBIT</t>
  </si>
  <si>
    <t xml:space="preserve">Capex</t>
  </si>
  <si>
    <t xml:space="preserve">Inversión en activos</t>
  </si>
  <si>
    <t xml:space="preserve">Δ Capital de trabajo</t>
  </si>
  <si>
    <t xml:space="preserve">Aumento de KTNO</t>
  </si>
  <si>
    <t xml:space="preserve">Tasa impositiva</t>
  </si>
  <si>
    <t xml:space="preserve">Impuesto corporativo Colombia 2026</t>
  </si>
  <si>
    <t xml:space="preserve">Crecimiento estable g</t>
  </si>
  <si>
    <t xml:space="preserve">Nominal COP largo plazo</t>
  </si>
  <si>
    <t xml:space="preserve">Estructura financiera</t>
  </si>
  <si>
    <t xml:space="preserve">Deuda financiera (≈ valor mercado)</t>
  </si>
  <si>
    <t xml:space="preserve">Corto + largo plazo</t>
  </si>
  <si>
    <t xml:space="preserve">Caja total</t>
  </si>
  <si>
    <t xml:space="preserve">Efectivo y equivalentes</t>
  </si>
  <si>
    <t xml:space="preserve">Caja operativa mínima</t>
  </si>
  <si>
    <t xml:space="preserve">No es caja excedente</t>
  </si>
  <si>
    <t xml:space="preserve">Interés minoritario</t>
  </si>
  <si>
    <t xml:space="preserve">Participación no controladora</t>
  </si>
  <si>
    <t xml:space="preserve">Mercado / costo de capital  (un solo set — usado por el manual y el Excel)</t>
  </si>
  <si>
    <t xml:space="preserve">Tasa libre de riesgo (Rf, COP)</t>
  </si>
  <si>
    <t xml:space="preserve">Ilustrativo</t>
  </si>
  <si>
    <t xml:space="preserve">Beta releverada</t>
  </si>
  <si>
    <t xml:space="preserve">β apalancada del sector</t>
  </si>
  <si>
    <t xml:space="preserve">Prima riesgo patrimonio Colombia (ERP)</t>
  </si>
  <si>
    <t xml:space="preserve">Damodaran ene-2026 (total ERP)</t>
  </si>
  <si>
    <t xml:space="preserve">Costo de deuda antes de impuestos (Kd)</t>
  </si>
  <si>
    <t xml:space="preserve">Peso patrimonio (E)</t>
  </si>
  <si>
    <t xml:space="preserve">Estructura objetivo</t>
  </si>
  <si>
    <t xml:space="preserve">Peso deuda (D)</t>
  </si>
  <si>
    <t xml:space="preserve">Transacciones precedentes (ilustrativas)</t>
  </si>
  <si>
    <t xml:space="preserve">EV/EBITDA transacción — bajo</t>
  </si>
  <si>
    <t xml:space="preserve">Nivel control; ilustrativo</t>
  </si>
  <si>
    <t xml:space="preserve">EV/EBITDA transacción — alto</t>
  </si>
  <si>
    <t xml:space="preserve">Nivel control; posibles sinergias</t>
  </si>
  <si>
    <t xml:space="preserve">Derivados</t>
  </si>
  <si>
    <t xml:space="preserve">EBIT</t>
  </si>
  <si>
    <t xml:space="preserve">Caja excedente</t>
  </si>
  <si>
    <t xml:space="preserve">Costo del patrimonio (Ke)</t>
  </si>
  <si>
    <t xml:space="preserve">Rf + β·ERP</t>
  </si>
  <si>
    <t xml:space="preserve">Kd después de impuestos</t>
  </si>
  <si>
    <t xml:space="preserve">WACC</t>
  </si>
  <si>
    <t xml:space="preserve">≈ 11,2% con este set</t>
  </si>
  <si>
    <t xml:space="preserve">FCFF (año base)</t>
  </si>
  <si>
    <t xml:space="preserve">Ajuste neto EV→Equity</t>
  </si>
  <si>
    <t xml:space="preserve">−deuda +caja excedente −minoritarios</t>
  </si>
  <si>
    <t xml:space="preserve">Comparables y estadística</t>
  </si>
  <si>
    <t xml:space="preserve">Fundamentales de cada par (ilustrativos). Distinción outlier vs N/M explícita. La columna 'limpio' alimenta la estadística.</t>
  </si>
  <si>
    <t xml:space="preserve">Par</t>
  </si>
  <si>
    <t xml:space="preserve">EV/EBITDA</t>
  </si>
  <si>
    <t xml:space="preserve">País</t>
  </si>
  <si>
    <t xml:space="preserve">Crec. %</t>
  </si>
  <si>
    <t xml:space="preserve">Mg.EBITDA</t>
  </si>
  <si>
    <t xml:space="preserve">ROIC %</t>
  </si>
  <si>
    <t xml:space="preserve">D/EBITDA</t>
  </si>
  <si>
    <t xml:space="preserve">Tamaño</t>
  </si>
  <si>
    <t xml:space="preserve">Fecha</t>
  </si>
  <si>
    <t xml:space="preserve">LTM/NTM</t>
  </si>
  <si>
    <t xml:space="preserve">¿Outlier?</t>
  </si>
  <si>
    <t xml:space="preserve">¿Incluido?</t>
  </si>
  <si>
    <t xml:space="preserve">EV/EBITDA limpio</t>
  </si>
  <si>
    <t xml:space="preserve">Justificación</t>
  </si>
  <si>
    <t xml:space="preserve">Comp. A</t>
  </si>
  <si>
    <t xml:space="preserve">Perú</t>
  </si>
  <si>
    <t xml:space="preserve">30-jun-26</t>
  </si>
  <si>
    <t xml:space="preserve">LTM</t>
  </si>
  <si>
    <t xml:space="preserve">No</t>
  </si>
  <si>
    <t xml:space="preserve">Sí</t>
  </si>
  <si>
    <t xml:space="preserve">Comp. B</t>
  </si>
  <si>
    <t xml:space="preserve">Chile</t>
  </si>
  <si>
    <t xml:space="preserve">Comp. C</t>
  </si>
  <si>
    <t xml:space="preserve">México</t>
  </si>
  <si>
    <t xml:space="preserve">Comp. D</t>
  </si>
  <si>
    <t xml:space="preserve">Colombia</t>
  </si>
  <si>
    <t xml:space="preserve">Comp. E</t>
  </si>
  <si>
    <t xml:space="preserve">Brasil</t>
  </si>
  <si>
    <t xml:space="preserve">Comp. F</t>
  </si>
  <si>
    <t xml:space="preserve">Outlier: múltiplo válido pero inflado por M&amp;A reciente</t>
  </si>
  <si>
    <t xml:space="preserve">Estadístico</t>
  </si>
  <si>
    <t xml:space="preserve">Con atípico</t>
  </si>
  <si>
    <t xml:space="preserve">Ex-atípico (limpio)</t>
  </si>
  <si>
    <t xml:space="preserve">Nº observaciones</t>
  </si>
  <si>
    <t xml:space="preserve">Media</t>
  </si>
  <si>
    <t xml:space="preserve">Mediana</t>
  </si>
  <si>
    <t xml:space="preserve">Media recortada (quita mín. y máx.)</t>
  </si>
  <si>
    <t xml:space="preserve">Cuartil 1 (P25)</t>
  </si>
  <si>
    <t xml:space="preserve">Cuartil 3 (P75)</t>
  </si>
  <si>
    <t xml:space="preserve">Mínimo</t>
  </si>
  <si>
    <t xml:space="preserve">Máximo</t>
  </si>
  <si>
    <t xml:space="preserve">IQR (P25–P75, limpio) usado en el football field como rango de trading. El máximo 8,1× NO es P75.</t>
  </si>
  <si>
    <t xml:space="preserve">Múltiplo fundamental justificado</t>
  </si>
  <si>
    <t xml:space="preserve">El múltiplo objetivo se DERIVA de WACC, g, impuestos y reinversión — no se fija a ojo.</t>
  </si>
  <si>
    <t xml:space="preserve">Componente</t>
  </si>
  <si>
    <t xml:space="preserve">g (crecimiento estable)</t>
  </si>
  <si>
    <t xml:space="preserve">FCFF (año 1) = FCFF0×(1+g)</t>
  </si>
  <si>
    <t xml:space="preserve">Enterprise Value = FCFF1/(WACC−g)</t>
  </si>
  <si>
    <t xml:space="preserve">EBITDA</t>
  </si>
  <si>
    <t xml:space="preserve">Múltiplo fundamental EV/EBITDA</t>
  </si>
  <si>
    <t xml:space="preserve">Comparación — mediana pares (limpia):</t>
  </si>
  <si>
    <t xml:space="preserve">Sensibilidad del múltiplo fundamental EV/EBITDA (numerador actualizado por g)</t>
  </si>
  <si>
    <t xml:space="preserve">Celda = FCFF0×(1+g) / (WACC−g) / EBITDA. El numerador cambia con g en cada columna.</t>
  </si>
  <si>
    <t xml:space="preserve">WACC \ g</t>
  </si>
  <si>
    <t xml:space="preserve">Puente EV → Equity y triangulación</t>
  </si>
  <si>
    <t xml:space="preserve">Puente (múltiplo fundamental)</t>
  </si>
  <si>
    <t xml:space="preserve">COP mm</t>
  </si>
  <si>
    <t xml:space="preserve">Enterprise Value</t>
  </si>
  <si>
    <t xml:space="preserve">(−) Deuda financiera</t>
  </si>
  <si>
    <t xml:space="preserve">(+) Caja excedente</t>
  </si>
  <si>
    <t xml:space="preserve">(−) Interés minoritario</t>
  </si>
  <si>
    <t xml:space="preserve">Equity Value</t>
  </si>
  <si>
    <t xml:space="preserve">Football field — rangos por método (Equity, COP mm)</t>
  </si>
  <si>
    <t xml:space="preserve">Método</t>
  </si>
  <si>
    <t xml:space="preserve">EV/EBITDA bajo</t>
  </si>
  <si>
    <t xml:space="preserve">EV/EBITDA alto</t>
  </si>
  <si>
    <t xml:space="preserve">Equity bajo</t>
  </si>
  <si>
    <t xml:space="preserve">Equity alto</t>
  </si>
  <si>
    <t xml:space="preserve">base</t>
  </si>
  <si>
    <t xml:space="preserve">rango</t>
  </si>
  <si>
    <t xml:space="preserve">Múltiplo fundamental / DCF</t>
  </si>
  <si>
    <t xml:space="preserve">Trading comps (P25–P75)</t>
  </si>
  <si>
    <t xml:space="preserve">Transacciones precedentes</t>
  </si>
  <si>
    <t xml:space="preserve">Solapamiento calculado (trading ∩ fundamental) — status quo</t>
  </si>
  <si>
    <t xml:space="preserve">Equity bajo = MAX(inferiores)</t>
  </si>
  <si>
    <t xml:space="preserve">Nivel de valor: trading y fundamental = status-quo, minoritario y líquido.</t>
  </si>
  <si>
    <t xml:space="preserve">Equity alto = MIN(superiores)</t>
  </si>
  <si>
    <t xml:space="preserve">Empresa objetivo es privada: considerar DLOM / ajuste por tamaño sobre el rango minoritario.</t>
  </si>
  <si>
    <t xml:space="preserve">Equity central</t>
  </si>
  <si>
    <t xml:space="preserve">Transacciones (control) quedan por encima; no se promedian con el rango status-quo.</t>
  </si>
  <si>
    <t xml:space="preserve">EV equivalente (bajo–alto)</t>
  </si>
  <si>
    <t xml:space="preserve">EV/EBITDA equivalente (bajo–alto)</t>
  </si>
  <si>
    <t xml:space="preserve">Controles automáticos de consistencia</t>
  </si>
  <si>
    <t xml:space="preserve">Todos deben marcar OK. Si alguno dice REVISAR, hay una incompatibilidad en los supuestos o rangos.</t>
  </si>
  <si>
    <t xml:space="preserve">Control</t>
  </si>
  <si>
    <t xml:space="preserve">Estado</t>
  </si>
  <si>
    <t xml:space="preserve">Regla</t>
  </si>
  <si>
    <t xml:space="preserve">WACC &gt; g</t>
  </si>
  <si>
    <t xml:space="preserve">Valor terminal válido</t>
  </si>
  <si>
    <t xml:space="preserve">Pesos E + D = 100%</t>
  </si>
  <si>
    <t xml:space="preserve">Estructura de capital</t>
  </si>
  <si>
    <t xml:space="preserve">Caja total ≥ caja operativa</t>
  </si>
  <si>
    <t xml:space="preserve">Caja excedente no negativa</t>
  </si>
  <si>
    <t xml:space="preserve">EBITDA &gt; 0</t>
  </si>
  <si>
    <t xml:space="preserve">Denominador interpretable</t>
  </si>
  <si>
    <t xml:space="preserve">Rango fundamental ordenado</t>
  </si>
  <si>
    <t xml:space="preserve">bajo ≤ alto</t>
  </si>
  <si>
    <t xml:space="preserve">Trading ordenado</t>
  </si>
  <si>
    <t xml:space="preserve">Solapamiento válido</t>
  </si>
  <si>
    <t xml:space="preserve">MAX(inf) ≤ MIN(sup)</t>
  </si>
  <si>
    <t xml:space="preserve">Puente concilia</t>
  </si>
  <si>
    <t xml:space="preserve">Equity = EV + ajuste neto</t>
  </si>
  <si>
    <t xml:space="preserve">Equity Value ≥ 0</t>
  </si>
  <si>
    <t xml:space="preserve">Resultado no negativo</t>
  </si>
  <si>
    <t xml:space="preserve">Sin outlier en muestra limpia</t>
  </si>
  <si>
    <t xml:space="preserve">5 comparables incluidos</t>
  </si>
  <si>
    <t xml:space="preserve">(Si el motor lo soporta, aplique formato condicional: verde=OK, rojo=REVISAR.)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</si>
</sst>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"/>
    <numFmt numFmtId="166" formatCode="0.0%"/>
    <numFmt numFmtId="167" formatCode="0.0"/>
    <numFmt numFmtId="168" formatCode="0.0\x"/>
    <numFmt numFmtId="169" formatCode="#,##0.0"/>
    <numFmt numFmtId="170" formatCode="0"/>
  </numFmts>
  <fonts count="3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5"/>
      <color rgb="FF1F3864"/>
      <name val="Arial"/>
      <family val="0"/>
      <charset val="1"/>
    </font>
    <font>
      <i val="true"/>
      <sz val="10"/>
      <color rgb="FF595959"/>
      <name val="Arial"/>
      <family val="0"/>
      <charset val="1"/>
    </font>
    <font>
      <b val="true"/>
      <sz val="11"/>
      <color rgb="FF2E7D46"/>
      <name val="Arial"/>
      <family val="0"/>
      <charset val="1"/>
    </font>
    <font>
      <sz val="10"/>
      <color rgb="FF0000FF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0"/>
      <color rgb="FFC55A11"/>
      <name val="Arial"/>
      <family val="0"/>
      <charset val="1"/>
    </font>
    <font>
      <b val="true"/>
      <sz val="10"/>
      <color rgb="FF222222"/>
      <name val="Arial"/>
      <family val="0"/>
      <charset val="1"/>
    </font>
    <font>
      <sz val="10"/>
      <color rgb="FF222222"/>
      <name val="Arial"/>
      <family val="0"/>
      <charset val="1"/>
    </font>
    <font>
      <sz val="10"/>
      <color rgb="FF595959"/>
      <name val="Arial"/>
      <family val="0"/>
      <charset val="1"/>
    </font>
    <font>
      <i val="true"/>
      <sz val="9"/>
      <color rgb="FF595959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1F3864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color rgb="FF0000FF"/>
      <name val="Arial"/>
      <family val="0"/>
      <charset val="1"/>
    </font>
    <font>
      <b val="true"/>
      <sz val="9"/>
      <color rgb="FF0000FF"/>
      <name val="Arial"/>
      <family val="0"/>
      <charset val="1"/>
    </font>
    <font>
      <i val="true"/>
      <sz val="8"/>
      <color rgb="FF595959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10"/>
      <name val="Arial"/>
      <family val="0"/>
      <charset val="1"/>
    </font>
    <font>
      <b val="true"/>
      <sz val="10"/>
      <color rgb="FF008000"/>
      <name val="Arial"/>
      <family val="0"/>
      <charset val="1"/>
    </font>
    <font>
      <b val="true"/>
      <sz val="10"/>
      <color rgb="FF2E5496"/>
      <name val="Arial"/>
      <family val="0"/>
      <charset val="1"/>
    </font>
    <font>
      <b val="true"/>
      <sz val="10"/>
      <color rgb="FF2E7D46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1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F3864"/>
        <bgColor rgb="FF222222"/>
      </patternFill>
    </fill>
    <fill>
      <patternFill patternType="solid">
        <fgColor rgb="FFEAF0F8"/>
        <bgColor rgb="FFFFFFFF"/>
      </patternFill>
    </fill>
    <fill>
      <patternFill patternType="solid">
        <fgColor rgb="FFFFF2CC"/>
        <bgColor rgb="FFEAF0F8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7" fillId="4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8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7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8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70" fontId="8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9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21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9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1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22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22" fillId="4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23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24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25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2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BBBBB"/>
      <rgbColor rgb="FF878787"/>
      <rgbColor rgb="FF9999FF"/>
      <rgbColor rgb="FF993366"/>
      <rgbColor rgb="FFFFF2CC"/>
      <rgbColor rgb="FFEAF0F8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C55A11"/>
      <rgbColor rgb="FF595959"/>
      <rgbColor rgb="FF969696"/>
      <rgbColor rgb="FF1F3864"/>
      <rgbColor rgb="FF2E7D46"/>
      <rgbColor rgb="FF003300"/>
      <rgbColor rgb="FF333300"/>
      <rgbColor rgb="FF993300"/>
      <rgbColor rgb="FF993366"/>
      <rgbColor rgb="FF2E5496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sz="1800" spc="-1" strike="noStrike">
                <a:solidFill>
                  <a:srgbClr val="000000"/>
                </a:solidFill>
                <a:latin typeface="Calibri"/>
              </a:defRPr>
            </a:pPr>
            <a:r>
              <a:rPr b="1" sz="1800" spc="-1" strike="noStrike">
                <a:solidFill>
                  <a:srgbClr val="000000"/>
                </a:solidFill>
                <a:latin typeface="Calibri"/>
              </a:rPr>
              <a:t>Football field — Empresa Andina S.A.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bar"/>
        <c:grouping val="stacked"/>
        <c:varyColors val="0"/>
        <c:ser>
          <c:idx val="0"/>
          <c:order val="0"/>
          <c:tx>
            <c:strRef>
              <c:f>Triangulación!H14</c:f>
              <c:strCache>
                <c:ptCount val="1"/>
                <c:pt idx="0">
                  <c:v>base</c:v>
                </c:pt>
              </c:strCache>
            </c:strRef>
          </c:tx>
          <c:spPr>
            <a:noFill/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Triangulación!$B$15:$B$17</c:f>
              <c:strCache>
                <c:ptCount val="3"/>
                <c:pt idx="0">
                  <c:v>Múltiplo fundamental / DCF</c:v>
                </c:pt>
                <c:pt idx="1">
                  <c:v>Trading comps (P25–P75)</c:v>
                </c:pt>
                <c:pt idx="2">
                  <c:v>Transacciones precedentes</c:v>
                </c:pt>
              </c:strCache>
            </c:strRef>
          </c:cat>
          <c:val>
            <c:numRef>
              <c:f>Triangulación!$H$15:$H$17</c:f>
              <c:numCache>
                <c:formatCode>#,##0</c:formatCode>
                <c:ptCount val="3"/>
                <c:pt idx="0">
                  <c:v>330.939303730719</c:v>
                </c:pt>
                <c:pt idx="1">
                  <c:v>485</c:v>
                </c:pt>
                <c:pt idx="2">
                  <c:v>585</c:v>
                </c:pt>
              </c:numCache>
            </c:numRef>
          </c:val>
        </c:ser>
        <c:ser>
          <c:idx val="1"/>
          <c:order val="1"/>
          <c:tx>
            <c:strRef>
              <c:f>Triangulación!I14</c:f>
              <c:strCache>
                <c:ptCount val="1"/>
                <c:pt idx="0">
                  <c:v>rango</c:v>
                </c:pt>
              </c:strCache>
            </c:strRef>
          </c:tx>
          <c:spPr>
            <a:solidFill>
              <a:srgbClr val="2e5496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Arial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Triangulación!$B$15:$B$17</c:f>
              <c:strCache>
                <c:ptCount val="3"/>
                <c:pt idx="0">
                  <c:v>Múltiplo fundamental / DCF</c:v>
                </c:pt>
                <c:pt idx="1">
                  <c:v>Trading comps (P25–P75)</c:v>
                </c:pt>
                <c:pt idx="2">
                  <c:v>Transacciones precedentes</c:v>
                </c:pt>
              </c:strCache>
            </c:strRef>
          </c:cat>
          <c:val>
            <c:numRef>
              <c:f>Triangulación!$I$15:$I$17</c:f>
              <c:numCache>
                <c:formatCode>#,##0</c:formatCode>
                <c:ptCount val="3"/>
                <c:pt idx="0">
                  <c:v>184.562124509843</c:v>
                </c:pt>
                <c:pt idx="1">
                  <c:v>70</c:v>
                </c:pt>
                <c:pt idx="2">
                  <c:v>140</c:v>
                </c:pt>
              </c:numCache>
            </c:numRef>
          </c:val>
        </c:ser>
        <c:gapWidth val="150"/>
        <c:overlap val="100"/>
        <c:axId val="99850082"/>
        <c:axId val="66560286"/>
      </c:barChart>
      <c:catAx>
        <c:axId val="99850082"/>
        <c:scaling>
          <c:orientation val="minMax"/>
        </c:scaling>
        <c:delete val="0"/>
        <c:axPos val="b"/>
        <c:title>
          <c:tx>
            <c:rich>
              <a:bodyPr rot="-5400000"/>
              <a:lstStyle/>
              <a:p>
                <a:pPr>
                  <a:defRPr b="1" sz="1000" spc="-1" strike="noStrike">
                    <a:solidFill>
                      <a:srgbClr val="000000"/>
                    </a:solidFill>
                    <a:latin typeface="Calibri"/>
                  </a:defRPr>
                </a:pPr>
                <a:r>
                  <a:rPr b="1" sz="1000" spc="-1" strike="noStrike">
                    <a:solidFill>
                      <a:srgbClr val="000000"/>
                    </a:solidFill>
                    <a:latin typeface="Calibri"/>
                  </a:rPr>
                  <a:t>Equity value (COP mm)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66560286"/>
        <c:crosses val="autoZero"/>
        <c:auto val="1"/>
        <c:lblAlgn val="ctr"/>
        <c:lblOffset val="100"/>
        <c:noMultiLvlLbl val="0"/>
      </c:catAx>
      <c:valAx>
        <c:axId val="66560286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Calibri"/>
              </a:defRPr>
            </a:pPr>
          </a:p>
        </c:txPr>
        <c:crossAx val="99850082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21</xdr:row>
      <xdr:rowOff>361440</xdr:rowOff>
    </xdr:from>
    <xdr:to>
      <xdr:col>7</xdr:col>
      <xdr:colOff>269280</xdr:colOff>
      <xdr:row>27</xdr:row>
      <xdr:rowOff>91080</xdr:rowOff>
    </xdr:to>
    <xdr:graphicFrame>
      <xdr:nvGraphicFramePr>
        <xdr:cNvPr id="0" name="Chart 1"/>
        <xdr:cNvGraphicFramePr/>
      </xdr:nvGraphicFramePr>
      <xdr:xfrm>
        <a:off x="141120" y="5143680"/>
        <a:ext cx="6119280" cy="251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C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0"/>
    <col collapsed="false" customWidth="true" hidden="false" outlineLevel="0" max="3" min="3" style="1" width="60"/>
  </cols>
  <sheetData>
    <row r="2" customFormat="false" ht="18.55" hidden="false" customHeight="false" outlineLevel="0" collapsed="false">
      <c r="B2" s="2" t="s">
        <v>0</v>
      </c>
    </row>
    <row r="3" customFormat="false" ht="46.25" hidden="false" customHeight="false" outlineLevel="0" collapsed="false">
      <c r="B3" s="3" t="s">
        <v>1</v>
      </c>
    </row>
    <row r="5" customFormat="false" ht="15" hidden="false" customHeight="false" outlineLevel="0" collapsed="false">
      <c r="B5" s="4" t="s">
        <v>2</v>
      </c>
    </row>
    <row r="6" customFormat="false" ht="15" hidden="false" customHeight="false" outlineLevel="0" collapsed="false">
      <c r="B6" s="5" t="s">
        <v>3</v>
      </c>
    </row>
    <row r="7" customFormat="false" ht="15" hidden="false" customHeight="false" outlineLevel="0" collapsed="false">
      <c r="B7" s="6" t="s">
        <v>4</v>
      </c>
    </row>
    <row r="8" customFormat="false" ht="15" hidden="false" customHeight="false" outlineLevel="0" collapsed="false">
      <c r="B8" s="7" t="s">
        <v>5</v>
      </c>
    </row>
    <row r="9" customFormat="false" ht="15" hidden="false" customHeight="false" outlineLevel="0" collapsed="false">
      <c r="B9" s="8" t="s">
        <v>6</v>
      </c>
    </row>
    <row r="11" customFormat="false" ht="15" hidden="false" customHeight="false" outlineLevel="0" collapsed="false">
      <c r="B11" s="4" t="s">
        <v>7</v>
      </c>
    </row>
    <row r="12" customFormat="false" ht="15" hidden="false" customHeight="false" outlineLevel="0" collapsed="false">
      <c r="B12" s="9" t="s">
        <v>8</v>
      </c>
      <c r="C12" s="10" t="s">
        <v>9</v>
      </c>
    </row>
    <row r="13" customFormat="false" ht="15" hidden="false" customHeight="false" outlineLevel="0" collapsed="false">
      <c r="B13" s="9" t="s">
        <v>10</v>
      </c>
      <c r="C13" s="10" t="s">
        <v>11</v>
      </c>
    </row>
    <row r="14" customFormat="false" ht="15" hidden="false" customHeight="false" outlineLevel="0" collapsed="false">
      <c r="B14" s="9" t="s">
        <v>12</v>
      </c>
      <c r="C14" s="10" t="s">
        <v>13</v>
      </c>
    </row>
    <row r="15" customFormat="false" ht="15" hidden="false" customHeight="false" outlineLevel="0" collapsed="false">
      <c r="B15" s="9" t="s">
        <v>14</v>
      </c>
      <c r="C15" s="10" t="s">
        <v>15</v>
      </c>
    </row>
    <row r="16" customFormat="false" ht="15" hidden="false" customHeight="false" outlineLevel="0" collapsed="false">
      <c r="B16" s="9" t="s">
        <v>16</v>
      </c>
      <c r="C16" s="10" t="s">
        <v>17</v>
      </c>
    </row>
    <row r="18" customFormat="false" ht="15" hidden="false" customHeight="false" outlineLevel="0" collapsed="false">
      <c r="B18" s="4" t="s">
        <v>18</v>
      </c>
    </row>
    <row r="19" customFormat="false" ht="35.05" hidden="false" customHeight="false" outlineLevel="0" collapsed="false">
      <c r="B19" s="11" t="s">
        <v>19</v>
      </c>
    </row>
    <row r="20" customFormat="false" ht="46.25" hidden="false" customHeight="false" outlineLevel="0" collapsed="false">
      <c r="B20" s="11" t="s">
        <v>20</v>
      </c>
    </row>
    <row r="21" customFormat="false" ht="46.25" hidden="false" customHeight="false" outlineLevel="0" collapsed="false">
      <c r="B21" s="11" t="s">
        <v>21</v>
      </c>
    </row>
    <row r="22" customFormat="false" ht="46.25" hidden="false" customHeight="false" outlineLevel="0" collapsed="false">
      <c r="B22" s="11" t="s">
        <v>22</v>
      </c>
    </row>
    <row r="24" customFormat="false" ht="15" hidden="false" customHeight="false" outlineLevel="0" collapsed="false">
      <c r="B24" s="12" t="s">
        <v>23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3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6"/>
    <col collapsed="false" customWidth="true" hidden="false" outlineLevel="0" max="3" min="3" style="1" width="14"/>
    <col collapsed="false" customWidth="true" hidden="false" outlineLevel="0" max="4" min="4" style="1" width="4"/>
    <col collapsed="false" customWidth="true" hidden="false" outlineLevel="0" max="5" min="5" style="1" width="42"/>
  </cols>
  <sheetData>
    <row r="2" customFormat="false" ht="18.55" hidden="false" customHeight="false" outlineLevel="0" collapsed="false">
      <c r="B2" s="2" t="s">
        <v>24</v>
      </c>
    </row>
    <row r="3" customFormat="false" ht="46.25" hidden="false" customHeight="false" outlineLevel="0" collapsed="false">
      <c r="B3" s="3" t="s">
        <v>25</v>
      </c>
    </row>
    <row r="5" customFormat="false" ht="15" hidden="false" customHeight="false" outlineLevel="0" collapsed="false">
      <c r="B5" s="13" t="s">
        <v>26</v>
      </c>
      <c r="C5" s="13" t="s">
        <v>27</v>
      </c>
      <c r="E5" s="13" t="s">
        <v>28</v>
      </c>
    </row>
    <row r="6" customFormat="false" ht="15" hidden="false" customHeight="false" outlineLevel="0" collapsed="false">
      <c r="B6" s="14" t="s">
        <v>29</v>
      </c>
      <c r="C6" s="15"/>
      <c r="E6" s="15"/>
    </row>
    <row r="7" customFormat="false" ht="15" hidden="false" customHeight="false" outlineLevel="0" collapsed="false">
      <c r="B7" s="10" t="s">
        <v>30</v>
      </c>
      <c r="C7" s="16" t="n">
        <v>100</v>
      </c>
      <c r="E7" s="17" t="s">
        <v>31</v>
      </c>
    </row>
    <row r="8" customFormat="false" ht="15" hidden="false" customHeight="false" outlineLevel="0" collapsed="false">
      <c r="B8" s="10" t="s">
        <v>32</v>
      </c>
      <c r="C8" s="16" t="n">
        <v>25</v>
      </c>
      <c r="E8" s="17" t="s">
        <v>33</v>
      </c>
    </row>
    <row r="9" customFormat="false" ht="15" hidden="false" customHeight="false" outlineLevel="0" collapsed="false">
      <c r="B9" s="10" t="s">
        <v>34</v>
      </c>
      <c r="C9" s="16" t="n">
        <v>30</v>
      </c>
      <c r="E9" s="17" t="s">
        <v>35</v>
      </c>
    </row>
    <row r="10" customFormat="false" ht="15" hidden="false" customHeight="false" outlineLevel="0" collapsed="false">
      <c r="B10" s="10" t="s">
        <v>36</v>
      </c>
      <c r="C10" s="16" t="n">
        <v>5</v>
      </c>
      <c r="E10" s="17" t="s">
        <v>37</v>
      </c>
    </row>
    <row r="11" customFormat="false" ht="15" hidden="false" customHeight="false" outlineLevel="0" collapsed="false">
      <c r="B11" s="10" t="s">
        <v>38</v>
      </c>
      <c r="C11" s="18" t="n">
        <v>0.35</v>
      </c>
      <c r="E11" s="17" t="s">
        <v>39</v>
      </c>
    </row>
    <row r="12" customFormat="false" ht="15" hidden="false" customHeight="false" outlineLevel="0" collapsed="false">
      <c r="B12" s="10" t="s">
        <v>40</v>
      </c>
      <c r="C12" s="18" t="n">
        <v>0.045</v>
      </c>
      <c r="E12" s="17" t="s">
        <v>41</v>
      </c>
    </row>
    <row r="13" customFormat="false" ht="15" hidden="false" customHeight="false" outlineLevel="0" collapsed="false">
      <c r="B13" s="14" t="s">
        <v>42</v>
      </c>
      <c r="C13" s="15"/>
      <c r="E13" s="15"/>
    </row>
    <row r="14" customFormat="false" ht="15" hidden="false" customHeight="false" outlineLevel="0" collapsed="false">
      <c r="B14" s="10" t="s">
        <v>43</v>
      </c>
      <c r="C14" s="16" t="n">
        <v>220</v>
      </c>
      <c r="E14" s="17" t="s">
        <v>44</v>
      </c>
    </row>
    <row r="15" customFormat="false" ht="15" hidden="false" customHeight="false" outlineLevel="0" collapsed="false">
      <c r="B15" s="10" t="s">
        <v>45</v>
      </c>
      <c r="C15" s="16" t="n">
        <v>55</v>
      </c>
      <c r="E15" s="17" t="s">
        <v>46</v>
      </c>
    </row>
    <row r="16" customFormat="false" ht="15" hidden="false" customHeight="false" outlineLevel="0" collapsed="false">
      <c r="B16" s="10" t="s">
        <v>47</v>
      </c>
      <c r="C16" s="16" t="n">
        <v>15</v>
      </c>
      <c r="E16" s="17" t="s">
        <v>48</v>
      </c>
    </row>
    <row r="17" customFormat="false" ht="15" hidden="false" customHeight="false" outlineLevel="0" collapsed="false">
      <c r="B17" s="10" t="s">
        <v>49</v>
      </c>
      <c r="C17" s="16" t="n">
        <v>15</v>
      </c>
      <c r="E17" s="17" t="s">
        <v>50</v>
      </c>
    </row>
    <row r="18" customFormat="false" ht="15" hidden="false" customHeight="false" outlineLevel="0" collapsed="false">
      <c r="B18" s="14" t="s">
        <v>51</v>
      </c>
      <c r="C18" s="15"/>
      <c r="E18" s="15"/>
    </row>
    <row r="19" customFormat="false" ht="15" hidden="false" customHeight="false" outlineLevel="0" collapsed="false">
      <c r="B19" s="10" t="s">
        <v>52</v>
      </c>
      <c r="C19" s="19" t="n">
        <v>0.075</v>
      </c>
      <c r="E19" s="17" t="s">
        <v>53</v>
      </c>
    </row>
    <row r="20" customFormat="false" ht="15" hidden="false" customHeight="false" outlineLevel="0" collapsed="false">
      <c r="B20" s="10" t="s">
        <v>54</v>
      </c>
      <c r="C20" s="20" t="n">
        <v>0.965</v>
      </c>
      <c r="E20" s="17" t="s">
        <v>55</v>
      </c>
    </row>
    <row r="21" customFormat="false" ht="15" hidden="false" customHeight="false" outlineLevel="0" collapsed="false">
      <c r="B21" s="10" t="s">
        <v>56</v>
      </c>
      <c r="C21" s="18" t="n">
        <v>0.0708</v>
      </c>
      <c r="E21" s="17" t="s">
        <v>57</v>
      </c>
    </row>
    <row r="22" customFormat="false" ht="15" hidden="false" customHeight="false" outlineLevel="0" collapsed="false">
      <c r="B22" s="10" t="s">
        <v>58</v>
      </c>
      <c r="C22" s="19" t="n">
        <v>0.1</v>
      </c>
      <c r="E22" s="17" t="s">
        <v>53</v>
      </c>
    </row>
    <row r="23" customFormat="false" ht="15" hidden="false" customHeight="false" outlineLevel="0" collapsed="false">
      <c r="B23" s="10" t="s">
        <v>59</v>
      </c>
      <c r="C23" s="19" t="n">
        <v>0.6</v>
      </c>
      <c r="E23" s="17" t="s">
        <v>60</v>
      </c>
    </row>
    <row r="24" customFormat="false" ht="15" hidden="false" customHeight="false" outlineLevel="0" collapsed="false">
      <c r="B24" s="10" t="s">
        <v>61</v>
      </c>
      <c r="C24" s="19" t="n">
        <v>0.4</v>
      </c>
      <c r="E24" s="17" t="s">
        <v>60</v>
      </c>
    </row>
    <row r="25" customFormat="false" ht="15" hidden="false" customHeight="false" outlineLevel="0" collapsed="false">
      <c r="B25" s="14" t="s">
        <v>62</v>
      </c>
      <c r="C25" s="15"/>
      <c r="E25" s="15"/>
    </row>
    <row r="26" customFormat="false" ht="15" hidden="false" customHeight="false" outlineLevel="0" collapsed="false">
      <c r="B26" s="10" t="s">
        <v>63</v>
      </c>
      <c r="C26" s="21" t="n">
        <v>7.8</v>
      </c>
      <c r="E26" s="17" t="s">
        <v>64</v>
      </c>
    </row>
    <row r="27" customFormat="false" ht="15" hidden="false" customHeight="false" outlineLevel="0" collapsed="false">
      <c r="B27" s="10" t="s">
        <v>65</v>
      </c>
      <c r="C27" s="21" t="n">
        <v>9.2</v>
      </c>
      <c r="E27" s="17" t="s">
        <v>66</v>
      </c>
    </row>
    <row r="28" customFormat="false" ht="15" hidden="false" customHeight="false" outlineLevel="0" collapsed="false">
      <c r="B28" s="14" t="s">
        <v>67</v>
      </c>
      <c r="C28" s="15"/>
      <c r="E28" s="15"/>
    </row>
    <row r="29" customFormat="false" ht="15" hidden="false" customHeight="false" outlineLevel="0" collapsed="false">
      <c r="B29" s="10" t="s">
        <v>68</v>
      </c>
      <c r="C29" s="22" t="n">
        <f aca="false">Supuestos!$C$7-Supuestos!$C$8</f>
        <v>75</v>
      </c>
      <c r="E29" s="17"/>
    </row>
    <row r="30" customFormat="false" ht="15" hidden="false" customHeight="false" outlineLevel="0" collapsed="false">
      <c r="B30" s="10" t="s">
        <v>69</v>
      </c>
      <c r="C30" s="22" t="n">
        <f aca="false">Supuestos!$C$15-Supuestos!$C$16</f>
        <v>40</v>
      </c>
      <c r="E30" s="17"/>
    </row>
    <row r="31" customFormat="false" ht="15" hidden="false" customHeight="false" outlineLevel="0" collapsed="false">
      <c r="B31" s="10" t="s">
        <v>70</v>
      </c>
      <c r="C31" s="23" t="n">
        <f aca="false">Supuestos!$C$19+Supuestos!$C$20*Supuestos!$C$21</f>
        <v>0.143322</v>
      </c>
      <c r="E31" s="17" t="s">
        <v>71</v>
      </c>
    </row>
    <row r="32" customFormat="false" ht="15" hidden="false" customHeight="false" outlineLevel="0" collapsed="false">
      <c r="B32" s="10" t="s">
        <v>72</v>
      </c>
      <c r="C32" s="23" t="n">
        <f aca="false">Supuestos!$C$22*(1-Supuestos!$C$11)</f>
        <v>0.065</v>
      </c>
      <c r="E32" s="17"/>
    </row>
    <row r="33" customFormat="false" ht="15" hidden="false" customHeight="false" outlineLevel="0" collapsed="false">
      <c r="B33" s="10" t="s">
        <v>73</v>
      </c>
      <c r="C33" s="23" t="n">
        <f aca="false">Supuestos!$C$23*Supuestos!$C$31+Supuestos!$C$24*Supuestos!$C$32</f>
        <v>0.1119932</v>
      </c>
      <c r="E33" s="17" t="s">
        <v>74</v>
      </c>
    </row>
    <row r="34" customFormat="false" ht="15" hidden="false" customHeight="false" outlineLevel="0" collapsed="false">
      <c r="B34" s="10" t="s">
        <v>75</v>
      </c>
      <c r="C34" s="24" t="n">
        <f aca="false">Supuestos!$C$29*(1-Supuestos!$C$11)+Supuestos!$C$8-Supuestos!$C$9-Supuestos!$C$10</f>
        <v>38.75</v>
      </c>
      <c r="E34" s="17"/>
    </row>
    <row r="35" customFormat="false" ht="15" hidden="false" customHeight="false" outlineLevel="0" collapsed="false">
      <c r="B35" s="10" t="s">
        <v>76</v>
      </c>
      <c r="C35" s="22" t="n">
        <f aca="false">-Supuestos!$C$14+Supuestos!$C$30-Supuestos!$C$17</f>
        <v>-195</v>
      </c>
      <c r="E35" s="17" t="s">
        <v>77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14"/>
    <col collapsed="false" customWidth="true" hidden="false" outlineLevel="0" max="3" min="3" style="1" width="11"/>
    <col collapsed="false" customWidth="true" hidden="false" outlineLevel="0" max="4" min="4" style="1" width="10"/>
    <col collapsed="false" customWidth="true" hidden="false" outlineLevel="0" max="5" min="5" style="1" width="9"/>
    <col collapsed="false" customWidth="true" hidden="false" outlineLevel="0" max="6" min="6" style="1" width="11"/>
    <col collapsed="false" customWidth="true" hidden="false" outlineLevel="0" max="7" min="7" style="1" width="8"/>
    <col collapsed="false" customWidth="true" hidden="false" outlineLevel="0" max="8" min="8" style="1" width="10"/>
    <col collapsed="false" customWidth="true" hidden="false" outlineLevel="0" max="9" min="9" style="1" width="9"/>
    <col collapsed="false" customWidth="true" hidden="false" outlineLevel="0" max="10" min="10" style="1" width="11"/>
    <col collapsed="false" customWidth="true" hidden="false" outlineLevel="0" max="11" min="11" style="1" width="8"/>
    <col collapsed="false" customWidth="true" hidden="false" outlineLevel="0" max="12" min="12" style="1" width="9"/>
    <col collapsed="false" customWidth="true" hidden="false" outlineLevel="0" max="13" min="13" style="1" width="10"/>
    <col collapsed="false" customWidth="true" hidden="false" outlineLevel="0" max="14" min="14" style="1" width="13"/>
    <col collapsed="false" customWidth="true" hidden="false" outlineLevel="0" max="15" min="15" style="1" width="26"/>
  </cols>
  <sheetData>
    <row r="2" customFormat="false" ht="18.55" hidden="false" customHeight="false" outlineLevel="0" collapsed="false">
      <c r="B2" s="2" t="s">
        <v>78</v>
      </c>
    </row>
    <row r="3" customFormat="false" ht="91" hidden="false" customHeight="false" outlineLevel="0" collapsed="false">
      <c r="B3" s="3" t="s">
        <v>79</v>
      </c>
    </row>
    <row r="5" customFormat="false" ht="22.35" hidden="false" customHeight="false" outlineLevel="0" collapsed="false">
      <c r="B5" s="25" t="s">
        <v>80</v>
      </c>
      <c r="C5" s="25" t="s">
        <v>81</v>
      </c>
      <c r="D5" s="25" t="s">
        <v>82</v>
      </c>
      <c r="E5" s="25" t="s">
        <v>83</v>
      </c>
      <c r="F5" s="25" t="s">
        <v>84</v>
      </c>
      <c r="G5" s="25" t="s">
        <v>85</v>
      </c>
      <c r="H5" s="25" t="s">
        <v>86</v>
      </c>
      <c r="I5" s="25" t="s">
        <v>87</v>
      </c>
      <c r="J5" s="25" t="s">
        <v>88</v>
      </c>
      <c r="K5" s="25" t="s">
        <v>89</v>
      </c>
      <c r="L5" s="25" t="s">
        <v>90</v>
      </c>
      <c r="M5" s="25" t="s">
        <v>91</v>
      </c>
      <c r="N5" s="25" t="s">
        <v>92</v>
      </c>
      <c r="O5" s="25" t="s">
        <v>93</v>
      </c>
    </row>
    <row r="6" customFormat="false" ht="15" hidden="false" customHeight="false" outlineLevel="0" collapsed="false">
      <c r="B6" s="10" t="s">
        <v>94</v>
      </c>
      <c r="C6" s="21" t="n">
        <v>6</v>
      </c>
      <c r="D6" s="26" t="s">
        <v>95</v>
      </c>
      <c r="E6" s="19" t="n">
        <v>0.03</v>
      </c>
      <c r="F6" s="19" t="n">
        <v>0.14</v>
      </c>
      <c r="G6" s="19" t="n">
        <v>0.09</v>
      </c>
      <c r="H6" s="21" t="n">
        <v>2</v>
      </c>
      <c r="I6" s="16" t="n">
        <v>800</v>
      </c>
      <c r="J6" s="26" t="s">
        <v>96</v>
      </c>
      <c r="K6" s="26" t="s">
        <v>97</v>
      </c>
      <c r="L6" s="27" t="s">
        <v>98</v>
      </c>
      <c r="M6" s="28" t="s">
        <v>99</v>
      </c>
      <c r="N6" s="29" t="n">
        <f aca="false">IF(M6="No","",C6)</f>
        <v>6</v>
      </c>
      <c r="O6" s="30"/>
    </row>
    <row r="7" customFormat="false" ht="15" hidden="false" customHeight="false" outlineLevel="0" collapsed="false">
      <c r="B7" s="10" t="s">
        <v>100</v>
      </c>
      <c r="C7" s="21" t="n">
        <v>6.8</v>
      </c>
      <c r="D7" s="26" t="s">
        <v>101</v>
      </c>
      <c r="E7" s="19" t="n">
        <v>0.04</v>
      </c>
      <c r="F7" s="19" t="n">
        <v>0.16</v>
      </c>
      <c r="G7" s="19" t="n">
        <v>0.11</v>
      </c>
      <c r="H7" s="21" t="n">
        <v>1.8</v>
      </c>
      <c r="I7" s="16" t="n">
        <v>1200</v>
      </c>
      <c r="J7" s="26" t="s">
        <v>96</v>
      </c>
      <c r="K7" s="26" t="s">
        <v>97</v>
      </c>
      <c r="L7" s="27" t="s">
        <v>98</v>
      </c>
      <c r="M7" s="28" t="s">
        <v>99</v>
      </c>
      <c r="N7" s="29" t="n">
        <f aca="false">IF(M7="No","",C7)</f>
        <v>6.8</v>
      </c>
      <c r="O7" s="30"/>
    </row>
    <row r="8" customFormat="false" ht="15" hidden="false" customHeight="false" outlineLevel="0" collapsed="false">
      <c r="B8" s="10" t="s">
        <v>102</v>
      </c>
      <c r="C8" s="21" t="n">
        <v>7.2</v>
      </c>
      <c r="D8" s="26" t="s">
        <v>103</v>
      </c>
      <c r="E8" s="19" t="n">
        <v>0.05</v>
      </c>
      <c r="F8" s="19" t="n">
        <v>0.18</v>
      </c>
      <c r="G8" s="19" t="n">
        <v>0.12</v>
      </c>
      <c r="H8" s="21" t="n">
        <v>2.2</v>
      </c>
      <c r="I8" s="16" t="n">
        <v>2500</v>
      </c>
      <c r="J8" s="26" t="s">
        <v>96</v>
      </c>
      <c r="K8" s="26" t="s">
        <v>97</v>
      </c>
      <c r="L8" s="27" t="s">
        <v>98</v>
      </c>
      <c r="M8" s="28" t="s">
        <v>99</v>
      </c>
      <c r="N8" s="29" t="n">
        <f aca="false">IF(M8="No","",C8)</f>
        <v>7.2</v>
      </c>
      <c r="O8" s="30"/>
    </row>
    <row r="9" customFormat="false" ht="15" hidden="false" customHeight="false" outlineLevel="0" collapsed="false">
      <c r="B9" s="10" t="s">
        <v>104</v>
      </c>
      <c r="C9" s="21" t="n">
        <v>7.5</v>
      </c>
      <c r="D9" s="26" t="s">
        <v>105</v>
      </c>
      <c r="E9" s="19" t="n">
        <v>0.045</v>
      </c>
      <c r="F9" s="19" t="n">
        <v>0.17</v>
      </c>
      <c r="G9" s="19" t="n">
        <v>0.11</v>
      </c>
      <c r="H9" s="21" t="n">
        <v>2.5</v>
      </c>
      <c r="I9" s="16" t="n">
        <v>900</v>
      </c>
      <c r="J9" s="26" t="s">
        <v>96</v>
      </c>
      <c r="K9" s="26" t="s">
        <v>97</v>
      </c>
      <c r="L9" s="27" t="s">
        <v>98</v>
      </c>
      <c r="M9" s="28" t="s">
        <v>99</v>
      </c>
      <c r="N9" s="29" t="n">
        <f aca="false">IF(M9="No","",C9)</f>
        <v>7.5</v>
      </c>
      <c r="O9" s="30"/>
    </row>
    <row r="10" customFormat="false" ht="15" hidden="false" customHeight="false" outlineLevel="0" collapsed="false">
      <c r="B10" s="10" t="s">
        <v>106</v>
      </c>
      <c r="C10" s="21" t="n">
        <v>8.1</v>
      </c>
      <c r="D10" s="26" t="s">
        <v>107</v>
      </c>
      <c r="E10" s="19" t="n">
        <v>0.06</v>
      </c>
      <c r="F10" s="19" t="n">
        <v>0.19</v>
      </c>
      <c r="G10" s="19" t="n">
        <v>0.13</v>
      </c>
      <c r="H10" s="21" t="n">
        <v>1.5</v>
      </c>
      <c r="I10" s="16" t="n">
        <v>3000</v>
      </c>
      <c r="J10" s="26" t="s">
        <v>96</v>
      </c>
      <c r="K10" s="26" t="s">
        <v>97</v>
      </c>
      <c r="L10" s="27" t="s">
        <v>98</v>
      </c>
      <c r="M10" s="28" t="s">
        <v>99</v>
      </c>
      <c r="N10" s="29" t="n">
        <f aca="false">IF(M10="No","",C10)</f>
        <v>8.1</v>
      </c>
      <c r="O10" s="30"/>
    </row>
    <row r="11" customFormat="false" ht="19.4" hidden="false" customHeight="false" outlineLevel="0" collapsed="false">
      <c r="B11" s="10" t="s">
        <v>108</v>
      </c>
      <c r="C11" s="21" t="n">
        <v>15</v>
      </c>
      <c r="D11" s="26" t="s">
        <v>103</v>
      </c>
      <c r="E11" s="19" t="n">
        <v>0.07</v>
      </c>
      <c r="F11" s="19" t="n">
        <v>0.2</v>
      </c>
      <c r="G11" s="19" t="n">
        <v>0.14</v>
      </c>
      <c r="H11" s="21" t="n">
        <v>1</v>
      </c>
      <c r="I11" s="16" t="n">
        <v>1500</v>
      </c>
      <c r="J11" s="26" t="s">
        <v>96</v>
      </c>
      <c r="K11" s="26" t="s">
        <v>97</v>
      </c>
      <c r="L11" s="28" t="s">
        <v>99</v>
      </c>
      <c r="M11" s="28" t="s">
        <v>98</v>
      </c>
      <c r="N11" s="29" t="str">
        <f aca="false">IF(M11="No","",C11)</f>
        <v/>
      </c>
      <c r="O11" s="30" t="s">
        <v>109</v>
      </c>
    </row>
    <row r="13" customFormat="false" ht="23.85" hidden="false" customHeight="false" outlineLevel="0" collapsed="false">
      <c r="B13" s="13" t="s">
        <v>110</v>
      </c>
      <c r="C13" s="13" t="s">
        <v>111</v>
      </c>
      <c r="D13" s="13" t="s">
        <v>112</v>
      </c>
    </row>
    <row r="14" customFormat="false" ht="23.85" hidden="false" customHeight="false" outlineLevel="0" collapsed="false">
      <c r="B14" s="10" t="s">
        <v>113</v>
      </c>
      <c r="C14" s="31" t="n">
        <f aca="false">COUNT(C6:C11)</f>
        <v>6</v>
      </c>
      <c r="D14" s="31" t="n">
        <f aca="false">COUNT(N6:N11)</f>
        <v>5</v>
      </c>
    </row>
    <row r="15" customFormat="false" ht="15" hidden="false" customHeight="false" outlineLevel="0" collapsed="false">
      <c r="B15" s="10" t="s">
        <v>114</v>
      </c>
      <c r="C15" s="29" t="n">
        <f aca="false">AVERAGE(C6:C11)</f>
        <v>8.43333333333333</v>
      </c>
      <c r="D15" s="29" t="n">
        <f aca="false">AVERAGE(N6:N11)</f>
        <v>7.12</v>
      </c>
    </row>
    <row r="16" customFormat="false" ht="15" hidden="false" customHeight="false" outlineLevel="0" collapsed="false">
      <c r="B16" s="10" t="s">
        <v>115</v>
      </c>
      <c r="C16" s="29" t="n">
        <f aca="false">MEDIAN(C6:C11)</f>
        <v>7.35</v>
      </c>
      <c r="D16" s="29" t="n">
        <f aca="false">MEDIAN(N6:N11)</f>
        <v>7.2</v>
      </c>
    </row>
    <row r="17" customFormat="false" ht="35.05" hidden="false" customHeight="false" outlineLevel="0" collapsed="false">
      <c r="B17" s="10" t="s">
        <v>116</v>
      </c>
      <c r="C17" s="29" t="n">
        <f aca="false">(SUM(C6:C11)-MIN(C6:C11)-MAX(C6:C11))/(COUNT(C6:C11)-2)</f>
        <v>7.4</v>
      </c>
      <c r="D17" s="29" t="n">
        <f aca="false">(SUM(N6:N11)-MIN(N6:N11)-MAX(N6:N11))/(COUNT(N6:N11)-2)</f>
        <v>7.16666666666667</v>
      </c>
    </row>
    <row r="18" customFormat="false" ht="15" hidden="false" customHeight="false" outlineLevel="0" collapsed="false">
      <c r="B18" s="10" t="s">
        <v>117</v>
      </c>
      <c r="C18" s="29" t="n">
        <f aca="false">QUARTILE(C6:C11,1)</f>
        <v>6.9</v>
      </c>
      <c r="D18" s="29" t="n">
        <f aca="false">QUARTILE(N6:N11,1)</f>
        <v>6.8</v>
      </c>
    </row>
    <row r="19" customFormat="false" ht="15" hidden="false" customHeight="false" outlineLevel="0" collapsed="false">
      <c r="B19" s="10" t="s">
        <v>118</v>
      </c>
      <c r="C19" s="29" t="n">
        <f aca="false">QUARTILE(C6:C11,3)</f>
        <v>7.95</v>
      </c>
      <c r="D19" s="29" t="n">
        <f aca="false">QUARTILE(N6:N11,3)</f>
        <v>7.5</v>
      </c>
    </row>
    <row r="20" customFormat="false" ht="15" hidden="false" customHeight="false" outlineLevel="0" collapsed="false">
      <c r="B20" s="10" t="s">
        <v>119</v>
      </c>
      <c r="C20" s="29" t="n">
        <f aca="false">MIN(C6:C11)</f>
        <v>6</v>
      </c>
      <c r="D20" s="29" t="n">
        <f aca="false">MIN(N6:N11)</f>
        <v>6</v>
      </c>
    </row>
    <row r="21" customFormat="false" ht="15" hidden="false" customHeight="false" outlineLevel="0" collapsed="false">
      <c r="B21" s="10" t="s">
        <v>120</v>
      </c>
      <c r="C21" s="29" t="n">
        <f aca="false">MAX(C6:C11)</f>
        <v>15</v>
      </c>
      <c r="D21" s="29" t="n">
        <f aca="false">MAX(N6:N11)</f>
        <v>8.1</v>
      </c>
    </row>
    <row r="23" customFormat="false" ht="74.6" hidden="false" customHeight="false" outlineLevel="0" collapsed="false">
      <c r="B23" s="17" t="s">
        <v>121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4"/>
    <col collapsed="false" customWidth="true" hidden="false" outlineLevel="0" max="3" min="3" style="1" width="13"/>
    <col collapsed="false" customWidth="true" hidden="false" outlineLevel="0" max="7" min="4" style="1" width="11"/>
  </cols>
  <sheetData>
    <row r="2" customFormat="false" ht="18.55" hidden="false" customHeight="false" outlineLevel="0" collapsed="false">
      <c r="B2" s="2" t="s">
        <v>122</v>
      </c>
    </row>
    <row r="3" customFormat="false" ht="35.05" hidden="false" customHeight="false" outlineLevel="0" collapsed="false">
      <c r="B3" s="3" t="s">
        <v>123</v>
      </c>
    </row>
    <row r="5" customFormat="false" ht="15" hidden="false" customHeight="false" outlineLevel="0" collapsed="false">
      <c r="B5" s="13" t="s">
        <v>124</v>
      </c>
      <c r="C5" s="13" t="s">
        <v>27</v>
      </c>
    </row>
    <row r="6" customFormat="false" ht="15" hidden="false" customHeight="false" outlineLevel="0" collapsed="false">
      <c r="B6" s="10" t="s">
        <v>70</v>
      </c>
      <c r="C6" s="32" t="n">
        <f aca="false">Supuestos!$C$31</f>
        <v>0.143322</v>
      </c>
    </row>
    <row r="7" customFormat="false" ht="15" hidden="false" customHeight="false" outlineLevel="0" collapsed="false">
      <c r="B7" s="10" t="s">
        <v>72</v>
      </c>
      <c r="C7" s="32" t="n">
        <f aca="false">Supuestos!$C$32</f>
        <v>0.065</v>
      </c>
    </row>
    <row r="8" customFormat="false" ht="15" hidden="false" customHeight="false" outlineLevel="0" collapsed="false">
      <c r="B8" s="10" t="s">
        <v>73</v>
      </c>
      <c r="C8" s="32" t="n">
        <f aca="false">Supuestos!$C$33</f>
        <v>0.1119932</v>
      </c>
    </row>
    <row r="9" customFormat="false" ht="15" hidden="false" customHeight="false" outlineLevel="0" collapsed="false">
      <c r="B9" s="10" t="s">
        <v>75</v>
      </c>
      <c r="C9" s="33" t="n">
        <f aca="false">Supuestos!$C$34</f>
        <v>38.75</v>
      </c>
    </row>
    <row r="10" customFormat="false" ht="15" hidden="false" customHeight="false" outlineLevel="0" collapsed="false">
      <c r="B10" s="10" t="s">
        <v>125</v>
      </c>
      <c r="C10" s="32" t="n">
        <f aca="false">Supuestos!$C$12</f>
        <v>0.045</v>
      </c>
    </row>
    <row r="11" customFormat="false" ht="15" hidden="false" customHeight="false" outlineLevel="0" collapsed="false">
      <c r="B11" s="10" t="s">
        <v>126</v>
      </c>
      <c r="C11" s="24" t="n">
        <f aca="false">C9*(1+C10)</f>
        <v>40.49375</v>
      </c>
    </row>
    <row r="12" customFormat="false" ht="15" hidden="false" customHeight="false" outlineLevel="0" collapsed="false">
      <c r="B12" s="10" t="s">
        <v>127</v>
      </c>
      <c r="C12" s="22" t="n">
        <f aca="false">C11/(C8-C10)</f>
        <v>604.445675083441</v>
      </c>
    </row>
    <row r="13" customFormat="false" ht="15" hidden="false" customHeight="false" outlineLevel="0" collapsed="false">
      <c r="B13" s="10" t="s">
        <v>128</v>
      </c>
      <c r="C13" s="34" t="n">
        <f aca="false">Supuestos!$C$7</f>
        <v>100</v>
      </c>
    </row>
    <row r="14" customFormat="false" ht="15" hidden="false" customHeight="false" outlineLevel="0" collapsed="false">
      <c r="B14" s="10" t="s">
        <v>129</v>
      </c>
      <c r="C14" s="35" t="n">
        <f aca="false">C12/C13</f>
        <v>6.04445675083441</v>
      </c>
    </row>
    <row r="16" customFormat="false" ht="23.85" hidden="false" customHeight="false" outlineLevel="0" collapsed="false">
      <c r="B16" s="9" t="s">
        <v>130</v>
      </c>
      <c r="E16" s="36" t="n">
        <f aca="false">Comparables!$D$16</f>
        <v>7.2</v>
      </c>
    </row>
    <row r="19" customFormat="false" ht="15" hidden="false" customHeight="false" outlineLevel="0" collapsed="false">
      <c r="B19" s="4" t="s">
        <v>131</v>
      </c>
    </row>
    <row r="20" customFormat="false" ht="32.8" hidden="false" customHeight="false" outlineLevel="0" collapsed="false">
      <c r="B20" s="17" t="s">
        <v>132</v>
      </c>
    </row>
    <row r="22" customFormat="false" ht="15" hidden="false" customHeight="false" outlineLevel="0" collapsed="false">
      <c r="B22" s="13" t="s">
        <v>133</v>
      </c>
      <c r="C22" s="37" t="n">
        <v>0.035</v>
      </c>
      <c r="D22" s="37" t="n">
        <v>0.04</v>
      </c>
      <c r="E22" s="37" t="n">
        <v>0.045</v>
      </c>
      <c r="F22" s="37" t="n">
        <v>0.05</v>
      </c>
      <c r="G22" s="37" t="n">
        <v>0.055</v>
      </c>
    </row>
    <row r="23" customFormat="false" ht="15" hidden="false" customHeight="false" outlineLevel="0" collapsed="false">
      <c r="B23" s="38" t="n">
        <f aca="false">'Múltiplo fundamental'!$C$8+(-0.01)</f>
        <v>0.1019932</v>
      </c>
      <c r="C23" s="39" t="n">
        <f aca="false">IF($B23&lt;=C$22,"n/a",Supuestos!$C$34*(1+C$22)/($B23-C$22)/Supuestos!$C$7)</f>
        <v>5.98661505943887</v>
      </c>
      <c r="D23" s="39" t="n">
        <f aca="false">IF($B23&lt;=D$22,"n/a",Supuestos!$C$34*(1+D$22)/($B23-D$22)/Supuestos!$C$7)</f>
        <v>6.50071298142377</v>
      </c>
      <c r="E23" s="39" t="n">
        <f aca="false">IF($B23&lt;=E$22,"n/a",Supuestos!$C$34*(1+E$22)/($B23-E$22)/Supuestos!$C$7)</f>
        <v>7.10501428240562</v>
      </c>
      <c r="F23" s="39" t="n">
        <f aca="false">IF($B23&lt;=F$22,"n/a",Supuestos!$C$34*(1+F$22)/($B23-F$22)/Supuestos!$C$7)</f>
        <v>7.82554257095158</v>
      </c>
      <c r="G23" s="39" t="n">
        <f aca="false">IF($B23&lt;=G$22,"n/a",Supuestos!$C$34*(1+G$22)/($B23-G$22)/Supuestos!$C$7)</f>
        <v>8.69939693402449</v>
      </c>
    </row>
    <row r="24" customFormat="false" ht="15" hidden="false" customHeight="false" outlineLevel="0" collapsed="false">
      <c r="B24" s="38" t="n">
        <f aca="false">'Múltiplo fundamental'!$C$8+(-0.005)</f>
        <v>0.1069932</v>
      </c>
      <c r="C24" s="39" t="n">
        <f aca="false">IF($B24&lt;=C$22,"n/a",Supuestos!$C$34*(1+C$22)/($B24-C$22)/Supuestos!$C$7)</f>
        <v>5.57083863475995</v>
      </c>
      <c r="D24" s="39" t="n">
        <f aca="false">IF($B24&lt;=D$22,"n/a",Supuestos!$C$34*(1+D$22)/($B24-D$22)/Supuestos!$C$7)</f>
        <v>6.01553590513664</v>
      </c>
      <c r="E24" s="39" t="n">
        <f aca="false">IF($B24&lt;=E$22,"n/a",Supuestos!$C$34*(1+E$22)/($B24-E$22)/Supuestos!$C$7)</f>
        <v>6.53196640921907</v>
      </c>
      <c r="F24" s="39" t="n">
        <f aca="false">IF($B24&lt;=F$22,"n/a",Supuestos!$C$34*(1+F$22)/($B24-F$22)/Supuestos!$C$7)</f>
        <v>7.13900956605349</v>
      </c>
      <c r="G24" s="39" t="n">
        <f aca="false">IF($B24&lt;=G$22,"n/a",Supuestos!$C$34*(1+G$22)/($B24-G$22)/Supuestos!$C$7)</f>
        <v>7.86280705938469</v>
      </c>
    </row>
    <row r="25" customFormat="false" ht="15" hidden="false" customHeight="false" outlineLevel="0" collapsed="false">
      <c r="B25" s="38" t="n">
        <f aca="false">'Múltiplo fundamental'!$C$8+(0)</f>
        <v>0.1119932</v>
      </c>
      <c r="C25" s="39" t="n">
        <f aca="false">IF($B25&lt;=C$22,"n/a",Supuestos!$C$34*(1+C$22)/($B25-C$22)/Supuestos!$C$7)</f>
        <v>5.20906391733296</v>
      </c>
      <c r="D25" s="39" t="n">
        <f aca="false">IF($B25&lt;=D$22,"n/a",Supuestos!$C$34*(1+D$22)/($B25-D$22)/Supuestos!$C$7)</f>
        <v>5.59775089869599</v>
      </c>
      <c r="E25" s="40" t="n">
        <f aca="false">IF($B25&lt;=E$22,"n/a",Supuestos!$C$34*(1+E$22)/($B25-E$22)/Supuestos!$C$7)</f>
        <v>6.04445675083441</v>
      </c>
      <c r="F25" s="39" t="n">
        <f aca="false">IF($B25&lt;=F$22,"n/a",Supuestos!$C$34*(1+F$22)/($B25-F$22)/Supuestos!$C$7)</f>
        <v>6.56321983701438</v>
      </c>
      <c r="G25" s="39" t="n">
        <f aca="false">IF($B25&lt;=G$22,"n/a",Supuestos!$C$34*(1+G$22)/($B25-G$22)/Supuestos!$C$7)</f>
        <v>7.17300484970137</v>
      </c>
    </row>
    <row r="26" customFormat="false" ht="15" hidden="false" customHeight="false" outlineLevel="0" collapsed="false">
      <c r="B26" s="38" t="n">
        <f aca="false">'Múltiplo fundamental'!$C$8+(0.005)</f>
        <v>0.1169932</v>
      </c>
      <c r="C26" s="39" t="n">
        <f aca="false">IF($B26&lt;=C$22,"n/a",Supuestos!$C$34*(1+C$22)/($B26-C$22)/Supuestos!$C$7)</f>
        <v>4.89141172682613</v>
      </c>
      <c r="D26" s="39" t="n">
        <f aca="false">IF($B26&lt;=D$22,"n/a",Supuestos!$C$34*(1+D$22)/($B26-D$22)/Supuestos!$C$7)</f>
        <v>5.23422847732007</v>
      </c>
      <c r="E26" s="39" t="n">
        <f aca="false">IF($B26&lt;=E$22,"n/a",Supuestos!$C$34*(1+E$22)/($B26-E$22)/Supuestos!$C$7)</f>
        <v>5.62466316263202</v>
      </c>
      <c r="F26" s="39" t="n">
        <f aca="false">IF($B26&lt;=F$22,"n/a",Supuestos!$C$34*(1+F$22)/($B26-F$22)/Supuestos!$C$7)</f>
        <v>6.07337759653218</v>
      </c>
      <c r="G26" s="39" t="n">
        <f aca="false">IF($B26&lt;=G$22,"n/a",Supuestos!$C$34*(1+G$22)/($B26-G$22)/Supuestos!$C$7)</f>
        <v>6.59447326480969</v>
      </c>
    </row>
    <row r="27" customFormat="false" ht="15" hidden="false" customHeight="false" outlineLevel="0" collapsed="false">
      <c r="B27" s="38" t="n">
        <f aca="false">'Múltiplo fundamental'!$C$8+(0.01)</f>
        <v>0.1219932</v>
      </c>
      <c r="C27" s="39" t="n">
        <f aca="false">IF($B27&lt;=C$22,"n/a",Supuestos!$C$34*(1+C$22)/($B27-C$22)/Supuestos!$C$7)</f>
        <v>4.61027413636928</v>
      </c>
      <c r="D27" s="39" t="n">
        <f aca="false">IF($B27&lt;=D$22,"n/a",Supuestos!$C$34*(1+D$22)/($B27-D$22)/Supuestos!$C$7)</f>
        <v>4.91504173516828</v>
      </c>
      <c r="E27" s="39" t="n">
        <f aca="false">IF($B27&lt;=E$22,"n/a",Supuestos!$C$34*(1+E$22)/($B27-E$22)/Supuestos!$C$7)</f>
        <v>5.25939303730719</v>
      </c>
      <c r="F27" s="39" t="n">
        <f aca="false">IF($B27&lt;=F$22,"n/a",Supuestos!$C$34*(1+F$22)/($B27-F$22)/Supuestos!$C$7)</f>
        <v>5.65157542656806</v>
      </c>
      <c r="G27" s="39" t="n">
        <f aca="false">IF($B27&lt;=G$22,"n/a",Supuestos!$C$34*(1+G$22)/($B27-G$22)/Supuestos!$C$7)</f>
        <v>6.10229844222996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I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0"/>
    <col collapsed="false" customWidth="true" hidden="false" outlineLevel="0" max="4" min="3" style="1" width="13"/>
    <col collapsed="false" customWidth="true" hidden="false" outlineLevel="0" max="6" min="5" style="1" width="12"/>
    <col collapsed="false" customWidth="true" hidden="false" outlineLevel="0" max="7" min="7" style="1" width="3"/>
    <col collapsed="false" customWidth="true" hidden="false" outlineLevel="0" max="9" min="8" style="1" width="11"/>
  </cols>
  <sheetData>
    <row r="2" customFormat="false" ht="18.55" hidden="false" customHeight="false" outlineLevel="0" collapsed="false">
      <c r="B2" s="2" t="s">
        <v>134</v>
      </c>
    </row>
    <row r="5" customFormat="false" ht="15" hidden="false" customHeight="false" outlineLevel="0" collapsed="false">
      <c r="B5" s="13" t="s">
        <v>135</v>
      </c>
      <c r="C5" s="13" t="s">
        <v>136</v>
      </c>
    </row>
    <row r="6" customFormat="false" ht="15" hidden="false" customHeight="false" outlineLevel="0" collapsed="false">
      <c r="B6" s="9" t="s">
        <v>137</v>
      </c>
      <c r="C6" s="41" t="n">
        <f aca="false">'Múltiplo fundamental'!$C$12</f>
        <v>604.445675083441</v>
      </c>
    </row>
    <row r="7" customFormat="false" ht="15" hidden="false" customHeight="false" outlineLevel="0" collapsed="false">
      <c r="B7" s="10" t="s">
        <v>138</v>
      </c>
      <c r="C7" s="34" t="n">
        <f aca="false">-Supuestos!$C$14</f>
        <v>-220</v>
      </c>
    </row>
    <row r="8" customFormat="false" ht="15" hidden="false" customHeight="false" outlineLevel="0" collapsed="false">
      <c r="B8" s="10" t="s">
        <v>139</v>
      </c>
      <c r="C8" s="34" t="n">
        <f aca="false">Supuestos!$C$30</f>
        <v>40</v>
      </c>
    </row>
    <row r="9" customFormat="false" ht="15" hidden="false" customHeight="false" outlineLevel="0" collapsed="false">
      <c r="B9" s="10" t="s">
        <v>140</v>
      </c>
      <c r="C9" s="34" t="n">
        <f aca="false">-Supuestos!$C$17</f>
        <v>-15</v>
      </c>
    </row>
    <row r="10" customFormat="false" ht="15" hidden="false" customHeight="false" outlineLevel="0" collapsed="false">
      <c r="B10" s="9" t="s">
        <v>141</v>
      </c>
      <c r="C10" s="42" t="n">
        <f aca="false">C6+C7+C8+C9</f>
        <v>409.445675083441</v>
      </c>
    </row>
    <row r="13" customFormat="false" ht="15" hidden="false" customHeight="false" outlineLevel="0" collapsed="false">
      <c r="B13" s="4" t="s">
        <v>142</v>
      </c>
    </row>
    <row r="14" customFormat="false" ht="23.85" hidden="false" customHeight="false" outlineLevel="0" collapsed="false">
      <c r="B14" s="13" t="s">
        <v>143</v>
      </c>
      <c r="C14" s="13" t="s">
        <v>144</v>
      </c>
      <c r="D14" s="13" t="s">
        <v>145</v>
      </c>
      <c r="E14" s="13" t="s">
        <v>146</v>
      </c>
      <c r="F14" s="13" t="s">
        <v>147</v>
      </c>
      <c r="H14" s="13" t="s">
        <v>148</v>
      </c>
      <c r="I14" s="13" t="s">
        <v>149</v>
      </c>
    </row>
    <row r="15" customFormat="false" ht="15" hidden="false" customHeight="false" outlineLevel="0" collapsed="false">
      <c r="B15" s="10" t="s">
        <v>150</v>
      </c>
      <c r="C15" s="36" t="n">
        <f aca="false">Supuestos!$C$34*(1+'Múltiplo fundamental'!$C$10)/(('Múltiplo fundamental'!$C$8+0.01)-'Múltiplo fundamental'!$C$10)/Supuestos!$C$7</f>
        <v>5.25939303730719</v>
      </c>
      <c r="D15" s="36" t="n">
        <f aca="false">Supuestos!$C$34*(1+'Múltiplo fundamental'!$C$10)/(('Múltiplo fundamental'!$C$8-0.01)-'Múltiplo fundamental'!$C$10)/Supuestos!$C$7</f>
        <v>7.10501428240562</v>
      </c>
      <c r="E15" s="22" t="n">
        <f aca="false">C15*Supuestos!$C$7+Supuestos!$C$35</f>
        <v>330.939303730719</v>
      </c>
      <c r="F15" s="22" t="n">
        <f aca="false">D15*Supuestos!$C$7+Supuestos!$C$35</f>
        <v>515.501428240562</v>
      </c>
      <c r="H15" s="22" t="n">
        <f aca="false">E15</f>
        <v>330.939303730719</v>
      </c>
      <c r="I15" s="22" t="n">
        <f aca="false">F15-E15</f>
        <v>184.562124509843</v>
      </c>
    </row>
    <row r="16" customFormat="false" ht="15" hidden="false" customHeight="false" outlineLevel="0" collapsed="false">
      <c r="B16" s="10" t="s">
        <v>151</v>
      </c>
      <c r="C16" s="36" t="n">
        <f aca="false">Comparables!$D$18</f>
        <v>6.8</v>
      </c>
      <c r="D16" s="36" t="n">
        <f aca="false">Comparables!$D$19</f>
        <v>7.5</v>
      </c>
      <c r="E16" s="22" t="n">
        <f aca="false">C16*Supuestos!$C$7+Supuestos!$C$35</f>
        <v>485</v>
      </c>
      <c r="F16" s="22" t="n">
        <f aca="false">D16*Supuestos!$C$7+Supuestos!$C$35</f>
        <v>555</v>
      </c>
      <c r="H16" s="22" t="n">
        <f aca="false">E16</f>
        <v>485</v>
      </c>
      <c r="I16" s="22" t="n">
        <f aca="false">F16-E16</f>
        <v>70</v>
      </c>
    </row>
    <row r="17" customFormat="false" ht="15" hidden="false" customHeight="false" outlineLevel="0" collapsed="false">
      <c r="B17" s="10" t="s">
        <v>152</v>
      </c>
      <c r="C17" s="36" t="n">
        <f aca="false">Supuestos!$C$26</f>
        <v>7.8</v>
      </c>
      <c r="D17" s="36" t="n">
        <f aca="false">Supuestos!$C$27</f>
        <v>9.2</v>
      </c>
      <c r="E17" s="22" t="n">
        <f aca="false">C17*Supuestos!$C$7+Supuestos!$C$35</f>
        <v>585</v>
      </c>
      <c r="F17" s="22" t="n">
        <f aca="false">D17*Supuestos!$C$7+Supuestos!$C$35</f>
        <v>725</v>
      </c>
      <c r="H17" s="22" t="n">
        <f aca="false">E17</f>
        <v>585</v>
      </c>
      <c r="I17" s="22" t="n">
        <f aca="false">F17-E17</f>
        <v>140</v>
      </c>
    </row>
    <row r="20" customFormat="false" ht="15" hidden="false" customHeight="false" outlineLevel="0" collapsed="false">
      <c r="B20" s="4" t="s">
        <v>153</v>
      </c>
    </row>
    <row r="21" customFormat="false" ht="64.15" hidden="false" customHeight="false" outlineLevel="0" collapsed="false">
      <c r="B21" s="10" t="s">
        <v>154</v>
      </c>
      <c r="C21" s="43" t="n">
        <f aca="false">MAX(E15,E16)</f>
        <v>485</v>
      </c>
      <c r="E21" s="17" t="s">
        <v>155</v>
      </c>
    </row>
    <row r="22" customFormat="false" ht="85.05" hidden="false" customHeight="false" outlineLevel="0" collapsed="false">
      <c r="B22" s="10" t="s">
        <v>156</v>
      </c>
      <c r="C22" s="43" t="n">
        <f aca="false">MIN(F15,F16)</f>
        <v>515.501428240562</v>
      </c>
      <c r="E22" s="17" t="s">
        <v>157</v>
      </c>
    </row>
    <row r="23" customFormat="false" ht="74.6" hidden="false" customHeight="false" outlineLevel="0" collapsed="false">
      <c r="B23" s="10" t="s">
        <v>158</v>
      </c>
      <c r="C23" s="43" t="n">
        <f aca="false">AVERAGE(C21:C22)</f>
        <v>500.250714120281</v>
      </c>
      <c r="E23" s="17" t="s">
        <v>159</v>
      </c>
    </row>
    <row r="24" customFormat="false" ht="15" hidden="false" customHeight="false" outlineLevel="0" collapsed="false">
      <c r="B24" s="10" t="s">
        <v>160</v>
      </c>
      <c r="C24" s="22" t="n">
        <f aca="false">C21-Supuestos!$C$35</f>
        <v>680</v>
      </c>
      <c r="D24" s="22" t="n">
        <f aca="false">C22-Supuestos!$C$35</f>
        <v>710.501428240562</v>
      </c>
    </row>
    <row r="25" customFormat="false" ht="15" hidden="false" customHeight="false" outlineLevel="0" collapsed="false">
      <c r="B25" s="10" t="s">
        <v>161</v>
      </c>
      <c r="C25" s="29" t="n">
        <f aca="false">C24/Supuestos!$C$7</f>
        <v>6.8</v>
      </c>
      <c r="D25" s="29" t="n">
        <f aca="false">D24/Supuestos!$C$7</f>
        <v>7.10501428240562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D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4"/>
    <col collapsed="false" customWidth="true" hidden="false" outlineLevel="0" max="4" min="4" style="1" width="30"/>
  </cols>
  <sheetData>
    <row r="2" customFormat="false" ht="18.55" hidden="false" customHeight="false" outlineLevel="0" collapsed="false">
      <c r="B2" s="2" t="s">
        <v>162</v>
      </c>
    </row>
    <row r="3" customFormat="false" ht="35.05" hidden="false" customHeight="false" outlineLevel="0" collapsed="false">
      <c r="B3" s="3" t="s">
        <v>163</v>
      </c>
    </row>
    <row r="5" customFormat="false" ht="15" hidden="false" customHeight="false" outlineLevel="0" collapsed="false">
      <c r="B5" s="13" t="s">
        <v>164</v>
      </c>
      <c r="C5" s="13" t="s">
        <v>165</v>
      </c>
      <c r="D5" s="13" t="s">
        <v>166</v>
      </c>
    </row>
    <row r="6" customFormat="false" ht="15" hidden="false" customHeight="false" outlineLevel="0" collapsed="false">
      <c r="B6" s="10" t="s">
        <v>167</v>
      </c>
      <c r="C6" s="44" t="str">
        <f aca="false">IF(Supuestos!$C$33&gt;Supuestos!$C$12,"OK","REVISAR")</f>
        <v>OK</v>
      </c>
      <c r="D6" s="17" t="s">
        <v>168</v>
      </c>
    </row>
    <row r="7" customFormat="false" ht="15" hidden="false" customHeight="false" outlineLevel="0" collapsed="false">
      <c r="B7" s="10" t="s">
        <v>169</v>
      </c>
      <c r="C7" s="44" t="str">
        <f aca="false">IF(ABS(Supuestos!$C$23+Supuestos!$C$24-1)&lt;0.0001,"OK","REVISAR")</f>
        <v>OK</v>
      </c>
      <c r="D7" s="17" t="s">
        <v>170</v>
      </c>
    </row>
    <row r="8" customFormat="false" ht="15" hidden="false" customHeight="false" outlineLevel="0" collapsed="false">
      <c r="B8" s="10" t="s">
        <v>171</v>
      </c>
      <c r="C8" s="44" t="str">
        <f aca="false">IF(Supuestos!$C$15&gt;=Supuestos!$C$16,"OK","REVISAR")</f>
        <v>OK</v>
      </c>
      <c r="D8" s="17" t="s">
        <v>172</v>
      </c>
    </row>
    <row r="9" customFormat="false" ht="15" hidden="false" customHeight="false" outlineLevel="0" collapsed="false">
      <c r="B9" s="10" t="s">
        <v>173</v>
      </c>
      <c r="C9" s="44" t="str">
        <f aca="false">IF(Supuestos!$C$7&gt;0,"OK","REVISAR")</f>
        <v>OK</v>
      </c>
      <c r="D9" s="17" t="s">
        <v>174</v>
      </c>
    </row>
    <row r="10" customFormat="false" ht="15" hidden="false" customHeight="false" outlineLevel="0" collapsed="false">
      <c r="B10" s="10" t="s">
        <v>175</v>
      </c>
      <c r="C10" s="44" t="str">
        <f aca="false">IF(Triangulación!E15&lt;=Triangulación!F15,"OK","REVISAR")</f>
        <v>OK</v>
      </c>
      <c r="D10" s="17" t="s">
        <v>176</v>
      </c>
    </row>
    <row r="11" customFormat="false" ht="15" hidden="false" customHeight="false" outlineLevel="0" collapsed="false">
      <c r="B11" s="10" t="s">
        <v>177</v>
      </c>
      <c r="C11" s="44" t="str">
        <f aca="false">IF(Triangulación!E16&lt;=Triangulación!F16,"OK","REVISAR")</f>
        <v>OK</v>
      </c>
      <c r="D11" s="17" t="s">
        <v>176</v>
      </c>
    </row>
    <row r="12" customFormat="false" ht="15" hidden="false" customHeight="false" outlineLevel="0" collapsed="false">
      <c r="B12" s="10" t="s">
        <v>178</v>
      </c>
      <c r="C12" s="44" t="str">
        <f aca="false">IF(Triangulación!C21&lt;=Triangulación!C22,"OK","REVISAR")</f>
        <v>OK</v>
      </c>
      <c r="D12" s="17" t="s">
        <v>179</v>
      </c>
    </row>
    <row r="13" customFormat="false" ht="15" hidden="false" customHeight="false" outlineLevel="0" collapsed="false">
      <c r="B13" s="10" t="s">
        <v>180</v>
      </c>
      <c r="C13" s="44" t="str">
        <f aca="false">IF(ABS(Triangulación!C10-(Triangulación!C6+Supuestos!$C$35))&lt;0.01,"OK","REVISAR")</f>
        <v>OK</v>
      </c>
      <c r="D13" s="17" t="s">
        <v>181</v>
      </c>
    </row>
    <row r="14" customFormat="false" ht="15" hidden="false" customHeight="false" outlineLevel="0" collapsed="false">
      <c r="B14" s="10" t="s">
        <v>182</v>
      </c>
      <c r="C14" s="44" t="str">
        <f aca="false">IF(Triangulación!C10&gt;=0,"OK","REVISAR")</f>
        <v>OK</v>
      </c>
      <c r="D14" s="17" t="s">
        <v>183</v>
      </c>
    </row>
    <row r="15" customFormat="false" ht="15" hidden="false" customHeight="false" outlineLevel="0" collapsed="false">
      <c r="B15" s="10" t="s">
        <v>184</v>
      </c>
      <c r="C15" s="44" t="str">
        <f aca="false">IF(COUNT(Comparables!N6:N11)=5,"OK","REVISAR")</f>
        <v>OK</v>
      </c>
      <c r="D15" s="17" t="s">
        <v>185</v>
      </c>
    </row>
    <row r="17" customFormat="false" ht="22.35" hidden="false" customHeight="false" outlineLevel="0" collapsed="false">
      <c r="B17" s="17" t="s">
        <v>186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2026-07-18T01:19:41Z</dcterms:created>
  <dc:creator>openpyxl</dc:creator>
  <dc:description/>
  <dc:language>en-US</dc:language>
  <cp:lastModifiedBy/>
  <dcterms:modified xsi:type="dcterms:W3CDTF">2026-07-18T01:23:33Z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