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comments2.xml" ContentType="application/vnd.openxmlformats-officedocument.spreadsheetml.comments+xml"/>
  <Override PartName="/xl/drawings/vmlDrawing1.vml" ContentType="application/vnd.openxmlformats-officedocument.vmlDrawi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.Portada" sheetId="1" state="visible" r:id="rId3"/>
    <sheet name="1.Inputs" sheetId="2" state="visible" r:id="rId4"/>
    <sheet name="2.Estados" sheetId="3" state="visible" r:id="rId5"/>
    <sheet name="3.FCL_WACC" sheetId="4" state="visible" r:id="rId6"/>
    <sheet name="4.Outputs" sheetId="5" state="visible" r:id="rId7"/>
    <sheet name="5.Checks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14" authorId="0">
      <text>
        <r>
          <rPr>
            <sz val="10"/>
            <rFont val="Arial"/>
            <family val="2"/>
          </rPr>
          <t xml:space="preserve">Fuente esperada (fila Base F14): lista de precios, contratos marco, sondeo comercial o benchmark de mercado.</t>
        </r>
      </text>
    </comment>
    <comment ref="D15" authorId="0">
      <text>
        <r>
          <rPr>
            <sz val="10"/>
            <rFont val="Arial"/>
            <family val="2"/>
          </rPr>
          <t xml:space="preserve">Fuente esperada (fila Base F15): FNC (precio interno de referencia), contrato C de NY + diferencial, o cotización de cooperativas/trilladoras.</t>
        </r>
      </text>
    </comment>
    <comment ref="D16" authorId="0">
      <text>
        <r>
          <rPr>
            <sz val="10"/>
            <rFont val="Arial"/>
            <family val="2"/>
          </rPr>
          <t xml:space="preserve">Fuente esperada (fila Base F16): meta y proyecciones del Banco de la República / encuestas de expectativas.</t>
        </r>
      </text>
    </comment>
    <comment ref="D19" authorId="0">
      <text>
        <r>
          <rPr>
            <sz val="10"/>
            <rFont val="Arial"/>
            <family val="2"/>
          </rPr>
          <t xml:space="preserve">Fuente esperada: avalúo comercial o benchmark inmobiliario industrial (lonja).</t>
        </r>
      </text>
    </comment>
    <comment ref="D20" authorId="0">
      <text>
        <r>
          <rPr>
            <sz val="10"/>
            <rFont val="Arial"/>
            <family val="2"/>
          </rPr>
          <t xml:space="preserve">Fuente esperada: presupuesto de obra, APU o $/m² de construcción industrial (Camacol).</t>
        </r>
      </text>
    </comment>
    <comment ref="D21" authorId="0">
      <text>
        <r>
          <rPr>
            <sz val="10"/>
            <rFont val="Arial"/>
            <family val="2"/>
          </rPr>
          <t xml:space="preserve">Fuente esperada: cotización formal del fabricante, en moneda de origen.</t>
        </r>
      </text>
    </comment>
    <comment ref="D22" authorId="0">
      <text>
        <r>
          <rPr>
            <sz val="10"/>
            <rFont val="Arial"/>
            <family val="2"/>
          </rPr>
          <t xml:space="preserve">Fuente esperada: TRM de referencia usada para la cotización/importación.</t>
        </r>
      </text>
    </comment>
    <comment ref="D32" authorId="0">
      <text>
        <r>
          <rPr>
            <sz val="10"/>
            <rFont val="Arial"/>
            <family val="2"/>
          </rPr>
          <t xml:space="preserve">Fuente esperada: term sheet bancario o cotización de crédito (IBR + spread).</t>
        </r>
      </text>
    </comment>
    <comment ref="D37" authorId="0">
      <text>
        <r>
          <rPr>
            <sz val="10"/>
            <rFont val="Arial"/>
            <family val="2"/>
          </rPr>
          <t xml:space="preserve">Fuente esperada: ficha técnica del proveedor de la tostadora.</t>
        </r>
      </text>
    </comment>
    <comment ref="D38" authorId="0">
      <text>
        <r>
          <rPr>
            <sz val="10"/>
            <rFont val="Arial"/>
            <family val="2"/>
          </rPr>
          <t xml:space="preserve">Fuente esperada: plan comercial y benchmarks de arranque del sector.</t>
        </r>
      </text>
    </comment>
    <comment ref="D42" authorId="0">
      <text>
        <r>
          <rPr>
            <sz val="10"/>
            <rFont val="Arial"/>
            <family val="2"/>
          </rPr>
          <t xml:space="preserve">Fuente esperada: ficha técnica del proceso o prueba de tostión (15–20% típico).</t>
        </r>
      </text>
    </comment>
    <comment ref="D44" authorId="0">
      <text>
        <r>
          <rPr>
            <sz val="10"/>
            <rFont val="Arial"/>
            <family val="2"/>
          </rPr>
          <t xml:space="preserve">Fuente esperada: presupuesto operativo detallado de nómina, arriendo, mantenimiento, seguros, vigilancia, administración y servicios de planta.</t>
        </r>
      </text>
    </comment>
    <comment ref="D47" authorId="0">
      <text>
        <r>
          <rPr>
            <sz val="10"/>
            <rFont val="Arial"/>
            <family val="2"/>
          </rPr>
          <t xml:space="preserve">Fuente esperada: condiciones comerciales negociadas con clientes (manual de proveedores de las cadenas).</t>
        </r>
      </text>
    </comment>
    <comment ref="D48" authorId="0">
      <text>
        <r>
          <rPr>
            <sz val="10"/>
            <rFont val="Arial"/>
            <family val="2"/>
          </rPr>
          <t xml:space="preserve">Fuente esperada: política de compras, rotación esperada y estacionalidad de cosecha del café.</t>
        </r>
      </text>
    </comment>
    <comment ref="D49" authorId="0">
      <text>
        <r>
          <rPr>
            <sz val="10"/>
            <rFont val="Arial"/>
            <family val="2"/>
          </rPr>
          <t xml:space="preserve">Fuente esperada: condiciones negociadas con cooperativas/trilladoras.</t>
        </r>
      </text>
    </comment>
    <comment ref="D53" authorId="0">
      <text>
        <r>
          <rPr>
            <sz val="10"/>
            <rFont val="Arial"/>
            <family val="2"/>
          </rPr>
          <t xml:space="preserve">Fuente esperada: norma tributaria vigente (Estatuto Tributario) o supuesto fiscal documentado.</t>
        </r>
      </text>
    </comment>
    <comment ref="D54" authorId="0">
      <text>
        <r>
          <rPr>
            <sz val="10"/>
            <rFont val="Arial"/>
            <family val="2"/>
          </rPr>
          <t xml:space="preserve">Fuente esperada: CAPM ajustado Colombia (Rf + beta×PRM + EMBI) o tasa de oportunidad declarada del inversionista.</t>
        </r>
      </text>
    </comment>
    <comment ref="D57" authorId="0">
      <text>
        <r>
          <rPr>
            <sz val="10"/>
            <rFont val="Arial"/>
            <family val="2"/>
          </rPr>
          <t xml:space="preserve">Fuente esperada: term sheet bancario o política de riesgo crediticio.</t>
        </r>
      </text>
    </comment>
  </commentList>
</comments>
</file>

<file path=xl/sharedStrings.xml><?xml version="1.0" encoding="utf-8"?>
<sst xmlns="http://schemas.openxmlformats.org/spreadsheetml/2006/main" count="327" uniqueCount="227">
  <si>
    <t xml:space="preserve">TOSTADORA DEL ALTO S.A.S. — Modelo Integrado de Evaluación Financiera de Proyectos (Estándar FAST)</t>
  </si>
  <si>
    <t xml:space="preserve">Estructura</t>
  </si>
  <si>
    <t xml:space="preserve">P&amp;G → Flujo de Caja (método indirecto) → Balance General → Flujo de Caja Libre → WACC y valoración.</t>
  </si>
  <si>
    <t xml:space="preserve">Partida doble</t>
  </si>
  <si>
    <t xml:space="preserve">La utilidad neta fluye a utilidades retenidas; el saldo de caja del flujo alimenta el Balance; la fila CONTROL verifica Activo = Pasivo + Patrimonio en todos los años. El Balance cuadra por construcción, nunca por plug.</t>
  </si>
  <si>
    <t xml:space="preserve">Estándar FAST</t>
  </si>
  <si>
    <t xml:space="preserve">Inputs en azul solo en 1.Inputs (única fuente de verdad). Fórmulas en negro. Vínculos entre hojas en verde. Hoja 5.Checks vigila la integridad; si un check falla, el modelo no es presentable.</t>
  </si>
  <si>
    <t xml:space="preserve">Horizonte</t>
  </si>
  <si>
    <t xml:space="preserve">Año 0 (2027): construcción y cierre financiero. Años 1–10: operación. COP nominales, anual.</t>
  </si>
  <si>
    <t xml:space="preserve">Escenarios</t>
  </si>
  <si>
    <t xml:space="preserve">Selector 1.Inputs!D6 — 1 Base, 2 Optimista, 3 Pesimista.</t>
  </si>
  <si>
    <t xml:space="preserve">Valor residual</t>
  </si>
  <si>
    <t xml:space="preserve">Se reconoce únicamente en el FCL (hoja 3) como valor de liquidación analítico al cierre del año 10: valor en libros de depreciables, recuperación del lote y del KTN. Los estados financieros (hoja 2) NO contabilizan la venta: son estados de empresa en marcha.</t>
  </si>
  <si>
    <t xml:space="preserve">Política fiscal</t>
  </si>
  <si>
    <t xml:space="preserve">El impuesto se causa sobre la base gravable tras compensar pérdidas fiscales de años anteriores (NOL, sin límite temporal en esta versión didáctica) y se paga al año siguiente.</t>
  </si>
  <si>
    <t xml:space="preserve">MODO PLANTILLA DE CLASE</t>
  </si>
  <si>
    <t xml:space="preserve">Las celdas amarillas se completan durante la clase, en este orden: 2.Estados (motor operativo → P&amp;G → capital de trabajo → flujo indirecto → deuda → balance), luego 3.FCL_WACC y 4.Outputs. La hoja 1.Inputs ya está completa (única fuente de verdad) y la hoja 5.Checks (28 pruebas) está viva como semáforo de avance: la sesión termina cuando el estado global declare MODELO VÁLIDO.</t>
  </si>
  <si>
    <t xml:space="preserve">Curso</t>
  </si>
  <si>
    <t xml:space="preserve">1. INPUTS — Única fuente de verdad</t>
  </si>
  <si>
    <t xml:space="preserve">SELECTOR DE ESCENARIO</t>
  </si>
  <si>
    <t xml:space="preserve">Escenario activo (1=Base, 2=Optimista, 3=Pesimista)</t>
  </si>
  <si>
    <t xml:space="preserve">HORIZONTE</t>
  </si>
  <si>
    <t xml:space="preserve">Año inicial (construcción)</t>
  </si>
  <si>
    <t xml:space="preserve">Años de operación</t>
  </si>
  <si>
    <t xml:space="preserve">DRIVERS POR ESCENARIO</t>
  </si>
  <si>
    <t xml:space="preserve">ACTIVO</t>
  </si>
  <si>
    <t xml:space="preserve">Base</t>
  </si>
  <si>
    <t xml:space="preserve">Optimista</t>
  </si>
  <si>
    <t xml:space="preserve">Pesimista</t>
  </si>
  <si>
    <t xml:space="preserve">Utilización plena (desde año 3)</t>
  </si>
  <si>
    <t xml:space="preserve">Precio venta canal cadenas (año 1)</t>
  </si>
  <si>
    <t xml:space="preserve">Costo café verde (año 1)</t>
  </si>
  <si>
    <t xml:space="preserve">Inflación anual (IPC)</t>
  </si>
  <si>
    <t xml:space="preserve">INVERSIÓN (Año 0)</t>
  </si>
  <si>
    <t xml:space="preserve">Lote (no depreciable)</t>
  </si>
  <si>
    <t xml:space="preserve">COP</t>
  </si>
  <si>
    <t xml:space="preserve">Obra civil</t>
  </si>
  <si>
    <t xml:space="preserve">Maquinaria importada</t>
  </si>
  <si>
    <t xml:space="preserve">USD</t>
  </si>
  <si>
    <t xml:space="preserve">TRM de importación</t>
  </si>
  <si>
    <t xml:space="preserve">COP/USD</t>
  </si>
  <si>
    <t xml:space="preserve">Maquinaria en COP</t>
  </si>
  <si>
    <t xml:space="preserve">CAPEX total</t>
  </si>
  <si>
    <t xml:space="preserve">DEPRECIACIÓN</t>
  </si>
  <si>
    <t xml:space="preserve">Vida útil obra civil</t>
  </si>
  <si>
    <t xml:space="preserve">años</t>
  </si>
  <si>
    <t xml:space="preserve">Vida útil maquinaria</t>
  </si>
  <si>
    <t xml:space="preserve">FINANCIACIÓN</t>
  </si>
  <si>
    <t xml:space="preserve">Deuda / CAPEX</t>
  </si>
  <si>
    <t xml:space="preserve">Tasa interés deuda (EA)</t>
  </si>
  <si>
    <t xml:space="preserve">Plazo deuda</t>
  </si>
  <si>
    <t xml:space="preserve">Gracia a capital</t>
  </si>
  <si>
    <t xml:space="preserve">Aporte de equity adicional para KT y arranque (año 0)</t>
  </si>
  <si>
    <t xml:space="preserve">OPERACIÓN</t>
  </si>
  <si>
    <t xml:space="preserve">Capacidad de tostión</t>
  </si>
  <si>
    <t xml:space="preserve">kg/mes</t>
  </si>
  <si>
    <t xml:space="preserve">Utilización año 1</t>
  </si>
  <si>
    <t xml:space="preserve">Utilización año 2</t>
  </si>
  <si>
    <t xml:space="preserve">Mezcla canal cadenas</t>
  </si>
  <si>
    <t xml:space="preserve">Prima precio venta directa</t>
  </si>
  <si>
    <t xml:space="preserve">Merma de tostión</t>
  </si>
  <si>
    <t xml:space="preserve">Energía y empaque (año 1)</t>
  </si>
  <si>
    <t xml:space="preserve">COP/kg</t>
  </si>
  <si>
    <t xml:space="preserve">Costos fijos (año 1)</t>
  </si>
  <si>
    <t xml:space="preserve">CAPITAL DE TRABAJO Y POLÍTICAS</t>
  </si>
  <si>
    <t xml:space="preserve">Días de cartera</t>
  </si>
  <si>
    <t xml:space="preserve">Días de inventario (sobre costo MP)</t>
  </si>
  <si>
    <t xml:space="preserve">Días de proveedores (sobre costo MP)</t>
  </si>
  <si>
    <t xml:space="preserve">Payout de dividendos (sobre UN positiva, pagado año sgte.)</t>
  </si>
  <si>
    <t xml:space="preserve">Base de días (año comercial)</t>
  </si>
  <si>
    <t xml:space="preserve">IMPUESTOS, DESCUENTO Y COVENANTS</t>
  </si>
  <si>
    <t xml:space="preserve">Tarifa de renta (causada; pagada año siguiente)</t>
  </si>
  <si>
    <t xml:space="preserve">Costo del equity (Ke)</t>
  </si>
  <si>
    <t xml:space="preserve">WACC (estructura objetivo del activo operativo: D/CAPEX)</t>
  </si>
  <si>
    <t xml:space="preserve">Nota</t>
  </si>
  <si>
    <t xml:space="preserve">El WACC pondera sobre el CAPEX (60/40): descuenta el FCL del activo operativo sin deuda. El aporte de equity para KT/rampa es colchón temporal de liquidez: NO altera la estructura objetivo; se refleja íntegro en el flujo del accionista (descontado al Ke).</t>
  </si>
  <si>
    <t xml:space="preserve">Covenant DSCR mínimo (term sheet bancario)</t>
  </si>
  <si>
    <t xml:space="preserve">VALOR RESIDUAL (fin año 10, solo en FCL)</t>
  </si>
  <si>
    <t xml:space="preserve">Lote: % recuperación</t>
  </si>
  <si>
    <t xml:space="preserve">Depreciables: % sobre valor en libros</t>
  </si>
  <si>
    <t xml:space="preserve">2. ESTADOS FINANCIEROS — P&amp;G → Flujo de Caja → Balance (partida doble)</t>
  </si>
  <si>
    <t xml:space="preserve">Año calendario</t>
  </si>
  <si>
    <t xml:space="preserve">Periodo</t>
  </si>
  <si>
    <t xml:space="preserve">Índice de inflación (año 1 = 1,00)</t>
  </si>
  <si>
    <t xml:space="preserve">MOTOR OPERATIVO</t>
  </si>
  <si>
    <t xml:space="preserve">Utilización</t>
  </si>
  <si>
    <t xml:space="preserve">Kg tostados</t>
  </si>
  <si>
    <t xml:space="preserve">kg</t>
  </si>
  <si>
    <t xml:space="preserve">Kg café verde</t>
  </si>
  <si>
    <t xml:space="preserve">Precio blended</t>
  </si>
  <si>
    <t xml:space="preserve">ESTADO DE RESULTADOS (P&amp;G)</t>
  </si>
  <si>
    <t xml:space="preserve">Ventas</t>
  </si>
  <si>
    <t xml:space="preserve">Costo materia prima (café verde)</t>
  </si>
  <si>
    <t xml:space="preserve">Energía y empaque</t>
  </si>
  <si>
    <t xml:space="preserve">Costos fijos</t>
  </si>
  <si>
    <t xml:space="preserve">EBITDA</t>
  </si>
  <si>
    <t xml:space="preserve">Depreciación obra civil</t>
  </si>
  <si>
    <t xml:space="preserve">Depreciación maquinaria</t>
  </si>
  <si>
    <t xml:space="preserve">Utilidad operacional (EBIT)</t>
  </si>
  <si>
    <t xml:space="preserve">Gastos financieros (= intereses de la cascada de deuda)</t>
  </si>
  <si>
    <t xml:space="preserve">Utilidad gravable</t>
  </si>
  <si>
    <t xml:space="preserve">Pérdida fiscal por compensar (saldo inicial)</t>
  </si>
  <si>
    <t xml:space="preserve">Compensación de pérdidas (NOL usado)</t>
  </si>
  <si>
    <t xml:space="preserve">Pérdida fiscal por compensar (saldo final)</t>
  </si>
  <si>
    <t xml:space="preserve">Impuesto de renta (causado, tras NOL)</t>
  </si>
  <si>
    <t xml:space="preserve">UTILIDAD NETA</t>
  </si>
  <si>
    <t xml:space="preserve">Dividendos decretados (payout sobre UN+, limitado a caja del año anterior)</t>
  </si>
  <si>
    <t xml:space="preserve">CUENTAS DE CAPITAL DE TRABAJO (saldos)</t>
  </si>
  <si>
    <t xml:space="preserve">Cartera</t>
  </si>
  <si>
    <t xml:space="preserve">Inventario</t>
  </si>
  <si>
    <t xml:space="preserve">Proveedores</t>
  </si>
  <si>
    <t xml:space="preserve">Impuestos por pagar (saldo = causado del año)</t>
  </si>
  <si>
    <t xml:space="preserve">Dividendos por pagar</t>
  </si>
  <si>
    <t xml:space="preserve">KTN (memo: cartera + inventario − proveedores)</t>
  </si>
  <si>
    <t xml:space="preserve">FLUJO DE CAJA — MÉTODO INDIRECTO</t>
  </si>
  <si>
    <t xml:space="preserve">Utilidad neta</t>
  </si>
  <si>
    <t xml:space="preserve">(+) Depreciación</t>
  </si>
  <si>
    <t xml:space="preserve">(−) Aumento de cartera</t>
  </si>
  <si>
    <t xml:space="preserve">(−) Aumento de inventario</t>
  </si>
  <si>
    <t xml:space="preserve">(+) Aumento de proveedores</t>
  </si>
  <si>
    <t xml:space="preserve">(+) Aumento impuestos por pagar</t>
  </si>
  <si>
    <t xml:space="preserve">(−) Dividendos pagados (decretados año anterior)</t>
  </si>
  <si>
    <t xml:space="preserve">Intereses del periodo (memo)</t>
  </si>
  <si>
    <t xml:space="preserve">(−) CAPEX</t>
  </si>
  <si>
    <t xml:space="preserve">(+) Desembolso de deuda</t>
  </si>
  <si>
    <t xml:space="preserve">(−) Amortización de deuda</t>
  </si>
  <si>
    <t xml:space="preserve">(+) Aporte de capital</t>
  </si>
  <si>
    <t xml:space="preserve">FLUJO DE CAJA DEL PERIODO</t>
  </si>
  <si>
    <t xml:space="preserve">SALDO ACUMULADO DE CAJA</t>
  </si>
  <si>
    <t xml:space="preserve">DEUDA</t>
  </si>
  <si>
    <t xml:space="preserve">Saldo inicial</t>
  </si>
  <si>
    <t xml:space="preserve">Amortización</t>
  </si>
  <si>
    <t xml:space="preserve">Saldo final</t>
  </si>
  <si>
    <t xml:space="preserve">BALANCE GENERAL</t>
  </si>
  <si>
    <t xml:space="preserve">Caja y bancos</t>
  </si>
  <si>
    <t xml:space="preserve">Inventarios</t>
  </si>
  <si>
    <t xml:space="preserve">Activo corriente</t>
  </si>
  <si>
    <t xml:space="preserve">Lote</t>
  </si>
  <si>
    <t xml:space="preserve">Activo fijo depreciable bruto</t>
  </si>
  <si>
    <t xml:space="preserve">Depreciación acumulada</t>
  </si>
  <si>
    <t xml:space="preserve">Activo fijo neto</t>
  </si>
  <si>
    <t xml:space="preserve">TOTAL ACTIVOS</t>
  </si>
  <si>
    <t xml:space="preserve">Impuestos por pagar</t>
  </si>
  <si>
    <t xml:space="preserve">Obligaciones financieras</t>
  </si>
  <si>
    <t xml:space="preserve">TOTAL PASIVOS</t>
  </si>
  <si>
    <t xml:space="preserve">Capital social</t>
  </si>
  <si>
    <t xml:space="preserve">Utilidades retenidas acumuladas</t>
  </si>
  <si>
    <t xml:space="preserve">TOTAL PATRIMONIO</t>
  </si>
  <si>
    <t xml:space="preserve">PASIVO + PATRIMONIO</t>
  </si>
  <si>
    <t xml:space="preserve">CONTROL (Activo − Pasivo − Patrimonio)</t>
  </si>
  <si>
    <t xml:space="preserve">3. FLUJO DE CAJA LIBRE, WACC Y VALORACIÓN</t>
  </si>
  <si>
    <t xml:space="preserve">FCL DEL PROYECTO (desde el P&amp;G — sin deuda)</t>
  </si>
  <si>
    <t xml:space="preserve">EBIT</t>
  </si>
  <si>
    <t xml:space="preserve">(−) Impuesto operativo teórico (EBIT×t)</t>
  </si>
  <si>
    <t xml:space="preserve">(−) Variación KTN operativo</t>
  </si>
  <si>
    <t xml:space="preserve">(+) Valor residual</t>
  </si>
  <si>
    <t xml:space="preserve">FCL PROYECTO</t>
  </si>
  <si>
    <t xml:space="preserve">FCL acumulado descontado (WACC)</t>
  </si>
  <si>
    <t xml:space="preserve">FCL DEL ACCIONISTA</t>
  </si>
  <si>
    <t xml:space="preserve">FCL proyecto</t>
  </si>
  <si>
    <t xml:space="preserve">(+) Desembolso deuda</t>
  </si>
  <si>
    <t xml:space="preserve">(−) Amortización</t>
  </si>
  <si>
    <t xml:space="preserve">(−) Intereses</t>
  </si>
  <si>
    <t xml:space="preserve">(+) Escudo fiscal intereses</t>
  </si>
  <si>
    <t xml:space="preserve">(−) Aporte equity para KT (año 0) / (+) recuperación (año 10)</t>
  </si>
  <si>
    <t xml:space="preserve">FCL ACCIONISTA</t>
  </si>
  <si>
    <t xml:space="preserve">DSCR</t>
  </si>
  <si>
    <t xml:space="preserve">Caja disponible para servicio de deuda</t>
  </si>
  <si>
    <t xml:space="preserve">Servicio de deuda (K+I)</t>
  </si>
  <si>
    <t xml:space="preserve">WACC (construcción)</t>
  </si>
  <si>
    <t xml:space="preserve">Peso deuda</t>
  </si>
  <si>
    <t xml:space="preserve">Costo deuda después de impuestos</t>
  </si>
  <si>
    <t xml:space="preserve">Peso equity</t>
  </si>
  <si>
    <t xml:space="preserve">Ke</t>
  </si>
  <si>
    <t xml:space="preserve">WACC</t>
  </si>
  <si>
    <t xml:space="preserve">4. OUTPUTS — Tablero de decisión</t>
  </si>
  <si>
    <t xml:space="preserve">PROYECTO (WACC)</t>
  </si>
  <si>
    <t xml:space="preserve">VAN del proyecto</t>
  </si>
  <si>
    <t xml:space="preserve">TIR del proyecto</t>
  </si>
  <si>
    <t xml:space="preserve">TIRM (reinversión al WACC)</t>
  </si>
  <si>
    <t xml:space="preserve">Relación B/C</t>
  </si>
  <si>
    <t xml:space="preserve">Payback descontado</t>
  </si>
  <si>
    <t xml:space="preserve">ACCIONISTA (Ke)</t>
  </si>
  <si>
    <t xml:space="preserve">VAN del accionista</t>
  </si>
  <si>
    <t xml:space="preserve">TIR del accionista</t>
  </si>
  <si>
    <t xml:space="preserve">DEUDA Y SALUD FINANCIERA</t>
  </si>
  <si>
    <t xml:space="preserve">DSCR mínimo (todo el servicio de deuda)</t>
  </si>
  <si>
    <t xml:space="preserve">Caja mínima del Balance</t>
  </si>
  <si>
    <t xml:space="preserve">Utilidad neta año 1</t>
  </si>
  <si>
    <t xml:space="preserve">DSCR mínimo post-rampa (año 3+)</t>
  </si>
  <si>
    <t xml:space="preserve">DECISIÓN</t>
  </si>
  <si>
    <t xml:space="preserve">Regla VAN</t>
  </si>
  <si>
    <t xml:space="preserve">Apalancamiento</t>
  </si>
  <si>
    <t xml:space="preserve">Covenant DSCR (1.Inputs!D57)</t>
  </si>
  <si>
    <t xml:space="preserve">5. CHECKS — Integridad y partida doble</t>
  </si>
  <si>
    <t xml:space="preserve">Prueba</t>
  </si>
  <si>
    <t xml:space="preserve">Estado</t>
  </si>
  <si>
    <t xml:space="preserve">Detalle</t>
  </si>
  <si>
    <t xml:space="preserve">BALANCE CUADRA todos los años (Control = 0)</t>
  </si>
  <si>
    <t xml:space="preserve">Caja del Balance nunca negativa</t>
  </si>
  <si>
    <t xml:space="preserve">Deuda amortiza a cero</t>
  </si>
  <si>
    <t xml:space="preserve">Fuentes año 0 = CAPEX + Aporte KT</t>
  </si>
  <si>
    <t xml:space="preserve">Caja año 0 = Aporte para KT</t>
  </si>
  <si>
    <t xml:space="preserve">Kg verde &gt; kg tostado (merma)</t>
  </si>
  <si>
    <t xml:space="preserve">Dep. acumulada año 10 = exacta (maq. completa + obra 10/vida)</t>
  </si>
  <si>
    <t xml:space="preserve">FCL proyecto año 0 = −CAPEX</t>
  </si>
  <si>
    <t xml:space="preserve">FCL accionista año 0 = −Aporte</t>
  </si>
  <si>
    <t xml:space="preserve">WACC Inputs = WACC construido</t>
  </si>
  <si>
    <t xml:space="preserve">DSCR post-rampa &gt; covenant (1.Inputs!D57)</t>
  </si>
  <si>
    <t xml:space="preserve">DSCR en rampa (años 1-2): déficit cubierto por caja</t>
  </si>
  <si>
    <t xml:space="preserve">Selector de escenario válido</t>
  </si>
  <si>
    <t xml:space="preserve">Gracia &lt; Plazo (estructura amortizable)</t>
  </si>
  <si>
    <t xml:space="preserve">NOL nunca negativo</t>
  </si>
  <si>
    <t xml:space="preserve">Compensación NOL ≤ pérdidas acumuladas</t>
  </si>
  <si>
    <t xml:space="preserve">Dividendos decretados ≤ caja año anterior</t>
  </si>
  <si>
    <t xml:space="preserve">Utilización ≤ 100% todos los años</t>
  </si>
  <si>
    <t xml:space="preserve">Gastos financieros P&amp;G = intereses de la cascada</t>
  </si>
  <si>
    <t xml:space="preserve">KTN = cartera + inventario − proveedores</t>
  </si>
  <si>
    <t xml:space="preserve">Σ(−ΔKTN) del FCL = −KTN final (sin doble conteo)</t>
  </si>
  <si>
    <t xml:space="preserve">Valor residual = VL depreciables + lote + KTN (sin duplicar lote)</t>
  </si>
  <si>
    <t xml:space="preserve">Lote no se deprecia (AF neto año 10 ≥ lote)</t>
  </si>
  <si>
    <t xml:space="preserve">FCA − FCL = solo flujos de financiación</t>
  </si>
  <si>
    <t xml:space="preserve">VAN de Outputs = VAN recalculado desde 3.FCL (tol. $1)</t>
  </si>
  <si>
    <t xml:space="preserve">TIR de Outputs = TIR recalculada desde 3.FCL (tol. 0,0001)</t>
  </si>
  <si>
    <t xml:space="preserve">FCL = suma exacta de sus componentes (filas 8–13)</t>
  </si>
  <si>
    <t xml:space="preserve">NOL se compensa cuando hay saldo y base positiva</t>
  </si>
  <si>
    <t xml:space="preserve">ESTADO GLOBAL DEL MODELO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</si>
</sst>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0"/>
    <numFmt numFmtId="166" formatCode="@"/>
    <numFmt numFmtId="167" formatCode="0.0%;\(0.0%\);\-"/>
    <numFmt numFmtId="168" formatCode="#,##0&quot; COP/kg&quot;"/>
    <numFmt numFmtId="169" formatCode="#,##0;\(#,##0\);\-"/>
    <numFmt numFmtId="170" formatCode="#,##0"/>
    <numFmt numFmtId="171" formatCode="0.00\x"/>
    <numFmt numFmtId="172" formatCode="0.000"/>
    <numFmt numFmtId="173" formatCode="0.00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8B2B2B"/>
      <name val="Arial"/>
      <family val="0"/>
      <charset val="1"/>
    </font>
    <font>
      <sz val="11"/>
      <color rgb="FF0000FF"/>
      <name val="Arial"/>
      <family val="0"/>
      <charset val="1"/>
    </font>
    <font>
      <i val="true"/>
      <sz val="9"/>
      <color rgb="FF808080"/>
      <name val="Arial"/>
      <family val="0"/>
      <charset val="1"/>
    </font>
    <font>
      <i val="true"/>
      <sz val="9"/>
      <name val="Arial"/>
      <family val="0"/>
      <charset val="1"/>
    </font>
    <font>
      <sz val="10"/>
      <name val="Arial"/>
      <family val="2"/>
    </font>
    <font>
      <sz val="11"/>
      <color rgb="FF008000"/>
      <name val="Arial"/>
      <family val="0"/>
      <charset val="1"/>
    </font>
    <font>
      <b val="true"/>
      <sz val="12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1F4E5F"/>
        <bgColor rgb="FF333333"/>
      </patternFill>
    </fill>
    <fill>
      <patternFill patternType="solid">
        <fgColor rgb="FFD9E2E8"/>
        <bgColor rgb="FFCCFFFF"/>
      </patternFill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8" fillId="4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8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0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1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2" fontId="6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6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7" fontId="12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6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0" fontId="6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9" fontId="12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1" fontId="6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3" fontId="6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6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71" fontId="12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E2E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F4E5F"/>
      <rgbColor rgb="FF339966"/>
      <rgbColor rgb="FF003300"/>
      <rgbColor rgb="FF333300"/>
      <rgbColor rgb="FF8B2B2B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30" hidden="false" customHeight="true" outlineLevel="0" collapsed="false">
      <c r="B4" s="4" t="s">
        <v>1</v>
      </c>
      <c r="D4" s="5" t="s">
        <v>2</v>
      </c>
      <c r="E4" s="5"/>
      <c r="F4" s="5"/>
      <c r="G4" s="5"/>
      <c r="H4" s="5"/>
      <c r="I4" s="5"/>
      <c r="J4" s="5"/>
      <c r="K4" s="5"/>
      <c r="L4" s="5"/>
      <c r="M4" s="5"/>
    </row>
    <row r="6" customFormat="false" ht="30" hidden="false" customHeight="true" outlineLevel="0" collapsed="false">
      <c r="B6" s="4" t="s">
        <v>3</v>
      </c>
      <c r="D6" s="5" t="s">
        <v>4</v>
      </c>
      <c r="E6" s="5"/>
      <c r="F6" s="5"/>
      <c r="G6" s="5"/>
      <c r="H6" s="5"/>
      <c r="I6" s="5"/>
      <c r="J6" s="5"/>
      <c r="K6" s="5"/>
      <c r="L6" s="5"/>
      <c r="M6" s="5"/>
    </row>
    <row r="8" customFormat="false" ht="30" hidden="false" customHeight="true" outlineLevel="0" collapsed="false">
      <c r="B8" s="4" t="s">
        <v>5</v>
      </c>
      <c r="D8" s="5" t="s">
        <v>6</v>
      </c>
      <c r="E8" s="5"/>
      <c r="F8" s="5"/>
      <c r="G8" s="5"/>
      <c r="H8" s="5"/>
      <c r="I8" s="5"/>
      <c r="J8" s="5"/>
      <c r="K8" s="5"/>
      <c r="L8" s="5"/>
      <c r="M8" s="5"/>
    </row>
    <row r="10" customFormat="false" ht="30" hidden="false" customHeight="true" outlineLevel="0" collapsed="false">
      <c r="B10" s="4" t="s">
        <v>7</v>
      </c>
      <c r="D10" s="5" t="s">
        <v>8</v>
      </c>
      <c r="E10" s="5"/>
      <c r="F10" s="5"/>
      <c r="G10" s="5"/>
      <c r="H10" s="5"/>
      <c r="I10" s="5"/>
      <c r="J10" s="5"/>
      <c r="K10" s="5"/>
      <c r="L10" s="5"/>
      <c r="M10" s="5"/>
    </row>
    <row r="12" customFormat="false" ht="30" hidden="false" customHeight="true" outlineLevel="0" collapsed="false">
      <c r="B12" s="4" t="s">
        <v>9</v>
      </c>
      <c r="D12" s="5" t="s">
        <v>10</v>
      </c>
      <c r="E12" s="5"/>
      <c r="F12" s="5"/>
      <c r="G12" s="5"/>
      <c r="H12" s="5"/>
      <c r="I12" s="5"/>
      <c r="J12" s="5"/>
      <c r="K12" s="5"/>
      <c r="L12" s="5"/>
      <c r="M12" s="5"/>
    </row>
    <row r="14" customFormat="false" ht="30" hidden="false" customHeight="true" outlineLevel="0" collapsed="false">
      <c r="B14" s="4" t="s">
        <v>11</v>
      </c>
      <c r="D14" s="5" t="s">
        <v>12</v>
      </c>
      <c r="E14" s="5"/>
      <c r="F14" s="5"/>
      <c r="G14" s="5"/>
      <c r="H14" s="5"/>
      <c r="I14" s="5"/>
      <c r="J14" s="5"/>
      <c r="K14" s="5"/>
      <c r="L14" s="5"/>
      <c r="M14" s="5"/>
    </row>
    <row r="16" customFormat="false" ht="30" hidden="false" customHeight="true" outlineLevel="0" collapsed="false">
      <c r="B16" s="4" t="s">
        <v>13</v>
      </c>
      <c r="D16" s="5" t="s">
        <v>14</v>
      </c>
      <c r="E16" s="5"/>
      <c r="F16" s="5"/>
      <c r="G16" s="5"/>
      <c r="H16" s="5"/>
      <c r="I16" s="5"/>
      <c r="J16" s="5"/>
      <c r="K16" s="5"/>
      <c r="L16" s="5"/>
      <c r="M16" s="5"/>
    </row>
    <row r="18" customFormat="false" ht="30" hidden="false" customHeight="true" outlineLevel="0" collapsed="false">
      <c r="B18" s="6" t="s">
        <v>15</v>
      </c>
      <c r="D18" s="5" t="s">
        <v>16</v>
      </c>
      <c r="E18" s="5"/>
      <c r="F18" s="5"/>
      <c r="G18" s="5"/>
      <c r="H18" s="5"/>
      <c r="I18" s="5"/>
      <c r="J18" s="5"/>
      <c r="K18" s="5"/>
      <c r="L18" s="5"/>
      <c r="M18" s="5"/>
    </row>
    <row r="20" customFormat="false" ht="30" hidden="false" customHeight="true" outlineLevel="0" collapsed="false">
      <c r="B20" s="4" t="s">
        <v>17</v>
      </c>
      <c r="D20" s="7"/>
      <c r="E20" s="7"/>
      <c r="F20" s="7"/>
      <c r="G20" s="7"/>
      <c r="H20" s="7"/>
      <c r="I20" s="7"/>
      <c r="J20" s="7"/>
      <c r="K20" s="7"/>
      <c r="L20" s="7"/>
      <c r="M20" s="7"/>
    </row>
  </sheetData>
  <mergeCells count="9">
    <mergeCell ref="D4:M4"/>
    <mergeCell ref="D6:M6"/>
    <mergeCell ref="D8:M8"/>
    <mergeCell ref="D10:M10"/>
    <mergeCell ref="D12:M12"/>
    <mergeCell ref="D14:M14"/>
    <mergeCell ref="D16:M16"/>
    <mergeCell ref="D18:M18"/>
    <mergeCell ref="D20:M2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6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15" hidden="false" customHeight="true" outlineLevel="0" collapsed="false">
      <c r="B4" s="8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6" customFormat="false" ht="15" hidden="false" customHeight="true" outlineLevel="0" collapsed="false">
      <c r="B6" s="10" t="s">
        <v>20</v>
      </c>
      <c r="D6" s="11" t="n">
        <v>1</v>
      </c>
      <c r="F6" s="12" t="str">
        <f aca="false">CHOOSE(D6,"BASE","OPTIMISTA","PESIMISTA")</f>
        <v>BASE</v>
      </c>
    </row>
    <row r="8" customFormat="false" ht="15" hidden="false" customHeight="true" outlineLevel="0" collapsed="false">
      <c r="B8" s="8" t="s">
        <v>21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customFormat="false" ht="15" hidden="false" customHeight="true" outlineLevel="0" collapsed="false">
      <c r="B9" s="10" t="s">
        <v>22</v>
      </c>
      <c r="D9" s="13" t="n">
        <v>2027</v>
      </c>
    </row>
    <row r="10" customFormat="false" ht="15" hidden="false" customHeight="true" outlineLevel="0" collapsed="false">
      <c r="B10" s="10" t="s">
        <v>23</v>
      </c>
      <c r="D10" s="13" t="n">
        <v>10</v>
      </c>
    </row>
    <row r="12" customFormat="false" ht="15" hidden="false" customHeight="true" outlineLevel="0" collapsed="false">
      <c r="B12" s="8" t="s">
        <v>24</v>
      </c>
      <c r="C12" s="9"/>
      <c r="D12" s="8" t="s">
        <v>25</v>
      </c>
      <c r="E12" s="9"/>
      <c r="F12" s="8" t="s">
        <v>26</v>
      </c>
      <c r="G12" s="8" t="s">
        <v>27</v>
      </c>
      <c r="H12" s="8" t="s">
        <v>28</v>
      </c>
      <c r="I12" s="9"/>
      <c r="J12" s="9"/>
      <c r="K12" s="9"/>
      <c r="L12" s="9"/>
      <c r="M12" s="9"/>
      <c r="N12" s="9"/>
      <c r="O12" s="9"/>
    </row>
    <row r="13" customFormat="false" ht="15" hidden="false" customHeight="true" outlineLevel="0" collapsed="false">
      <c r="B13" s="10" t="s">
        <v>29</v>
      </c>
      <c r="D13" s="14" t="n">
        <f aca="false">INDEX(F13:H13,$D$6)</f>
        <v>0.85</v>
      </c>
      <c r="F13" s="15" t="n">
        <v>0.85</v>
      </c>
      <c r="G13" s="15" t="n">
        <v>0.95</v>
      </c>
      <c r="H13" s="15" t="n">
        <v>0.7</v>
      </c>
    </row>
    <row r="14" customFormat="false" ht="15" hidden="false" customHeight="true" outlineLevel="0" collapsed="false">
      <c r="B14" s="10" t="s">
        <v>30</v>
      </c>
      <c r="D14" s="16" t="n">
        <f aca="false">INDEX(F14:H14,$D$6)</f>
        <v>30000</v>
      </c>
      <c r="F14" s="17" t="n">
        <v>30000</v>
      </c>
      <c r="G14" s="17" t="n">
        <v>33000</v>
      </c>
      <c r="H14" s="17" t="n">
        <v>28200</v>
      </c>
    </row>
    <row r="15" customFormat="false" ht="15" hidden="false" customHeight="true" outlineLevel="0" collapsed="false">
      <c r="B15" s="10" t="s">
        <v>31</v>
      </c>
      <c r="D15" s="16" t="n">
        <f aca="false">INDEX(F15:H15,$D$6)</f>
        <v>19000</v>
      </c>
      <c r="F15" s="17" t="n">
        <v>19000</v>
      </c>
      <c r="G15" s="17" t="n">
        <v>17500</v>
      </c>
      <c r="H15" s="17" t="n">
        <v>20500</v>
      </c>
    </row>
    <row r="16" customFormat="false" ht="15" hidden="false" customHeight="true" outlineLevel="0" collapsed="false">
      <c r="B16" s="10" t="s">
        <v>32</v>
      </c>
      <c r="D16" s="14" t="n">
        <f aca="false">INDEX(F16:H16,$D$6)</f>
        <v>0.045</v>
      </c>
      <c r="F16" s="15" t="n">
        <v>0.045</v>
      </c>
      <c r="G16" s="15" t="n">
        <v>0.035</v>
      </c>
      <c r="H16" s="15" t="n">
        <v>0.06</v>
      </c>
    </row>
    <row r="18" customFormat="false" ht="15" hidden="false" customHeight="true" outlineLevel="0" collapsed="false">
      <c r="B18" s="8" t="s">
        <v>33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customFormat="false" ht="15" hidden="false" customHeight="true" outlineLevel="0" collapsed="false">
      <c r="B19" s="10" t="s">
        <v>34</v>
      </c>
      <c r="C19" s="18" t="s">
        <v>35</v>
      </c>
      <c r="D19" s="19" t="n">
        <v>400000000</v>
      </c>
    </row>
    <row r="20" customFormat="false" ht="15" hidden="false" customHeight="true" outlineLevel="0" collapsed="false">
      <c r="B20" s="10" t="s">
        <v>36</v>
      </c>
      <c r="C20" s="18" t="s">
        <v>35</v>
      </c>
      <c r="D20" s="19" t="n">
        <v>600000000</v>
      </c>
    </row>
    <row r="21" customFormat="false" ht="15" hidden="false" customHeight="true" outlineLevel="0" collapsed="false">
      <c r="B21" s="10" t="s">
        <v>37</v>
      </c>
      <c r="C21" s="18" t="s">
        <v>38</v>
      </c>
      <c r="D21" s="19" t="n">
        <v>250000</v>
      </c>
    </row>
    <row r="22" customFormat="false" ht="15" hidden="false" customHeight="true" outlineLevel="0" collapsed="false">
      <c r="B22" s="10" t="s">
        <v>39</v>
      </c>
      <c r="C22" s="18" t="s">
        <v>40</v>
      </c>
      <c r="D22" s="20" t="n">
        <v>4200</v>
      </c>
    </row>
    <row r="23" customFormat="false" ht="15" hidden="false" customHeight="true" outlineLevel="0" collapsed="false">
      <c r="B23" s="10" t="s">
        <v>41</v>
      </c>
      <c r="C23" s="18" t="s">
        <v>35</v>
      </c>
      <c r="D23" s="21" t="n">
        <f aca="false">D21*D22</f>
        <v>1050000000</v>
      </c>
    </row>
    <row r="24" customFormat="false" ht="15" hidden="false" customHeight="true" outlineLevel="0" collapsed="false">
      <c r="B24" s="4" t="s">
        <v>42</v>
      </c>
      <c r="C24" s="18" t="s">
        <v>35</v>
      </c>
      <c r="D24" s="21" t="n">
        <f aca="false">D19+D20+D23</f>
        <v>2050000000</v>
      </c>
    </row>
    <row r="26" customFormat="false" ht="15" hidden="false" customHeight="true" outlineLevel="0" collapsed="false">
      <c r="B26" s="8" t="s">
        <v>43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</row>
    <row r="27" customFormat="false" ht="15" hidden="false" customHeight="true" outlineLevel="0" collapsed="false">
      <c r="B27" s="10" t="s">
        <v>44</v>
      </c>
      <c r="C27" s="18" t="s">
        <v>45</v>
      </c>
      <c r="D27" s="13" t="n">
        <v>20</v>
      </c>
    </row>
    <row r="28" customFormat="false" ht="15" hidden="false" customHeight="true" outlineLevel="0" collapsed="false">
      <c r="B28" s="10" t="s">
        <v>46</v>
      </c>
      <c r="C28" s="18" t="s">
        <v>45</v>
      </c>
      <c r="D28" s="13" t="n">
        <v>10</v>
      </c>
    </row>
    <row r="30" customFormat="false" ht="15" hidden="false" customHeight="true" outlineLevel="0" collapsed="false">
      <c r="B30" s="8" t="s">
        <v>47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</row>
    <row r="31" customFormat="false" ht="15" hidden="false" customHeight="true" outlineLevel="0" collapsed="false">
      <c r="B31" s="10" t="s">
        <v>48</v>
      </c>
      <c r="D31" s="15" t="n">
        <v>0.6</v>
      </c>
    </row>
    <row r="32" customFormat="false" ht="15" hidden="false" customHeight="true" outlineLevel="0" collapsed="false">
      <c r="B32" s="10" t="s">
        <v>49</v>
      </c>
      <c r="D32" s="15" t="n">
        <v>0.12</v>
      </c>
    </row>
    <row r="33" customFormat="false" ht="15" hidden="false" customHeight="true" outlineLevel="0" collapsed="false">
      <c r="B33" s="10" t="s">
        <v>50</v>
      </c>
      <c r="C33" s="18" t="s">
        <v>45</v>
      </c>
      <c r="D33" s="13" t="n">
        <v>7</v>
      </c>
    </row>
    <row r="34" customFormat="false" ht="15" hidden="false" customHeight="true" outlineLevel="0" collapsed="false">
      <c r="B34" s="10" t="s">
        <v>51</v>
      </c>
      <c r="C34" s="18" t="s">
        <v>45</v>
      </c>
      <c r="D34" s="13" t="n">
        <v>2</v>
      </c>
    </row>
    <row r="35" customFormat="false" ht="15" hidden="false" customHeight="true" outlineLevel="0" collapsed="false">
      <c r="B35" s="10" t="s">
        <v>52</v>
      </c>
      <c r="C35" s="18" t="s">
        <v>35</v>
      </c>
      <c r="D35" s="19" t="n">
        <v>800000000</v>
      </c>
    </row>
    <row r="36" customFormat="false" ht="15" hidden="false" customHeight="true" outlineLevel="0" collapsed="false">
      <c r="B36" s="8" t="s">
        <v>53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</row>
    <row r="37" customFormat="false" ht="15" hidden="false" customHeight="true" outlineLevel="0" collapsed="false">
      <c r="B37" s="10" t="s">
        <v>54</v>
      </c>
      <c r="C37" s="18" t="s">
        <v>55</v>
      </c>
      <c r="D37" s="20" t="n">
        <v>20000</v>
      </c>
    </row>
    <row r="38" customFormat="false" ht="15" hidden="false" customHeight="true" outlineLevel="0" collapsed="false">
      <c r="B38" s="10" t="s">
        <v>56</v>
      </c>
      <c r="D38" s="15" t="n">
        <v>0.5</v>
      </c>
    </row>
    <row r="39" customFormat="false" ht="15" hidden="false" customHeight="true" outlineLevel="0" collapsed="false">
      <c r="B39" s="10" t="s">
        <v>57</v>
      </c>
      <c r="D39" s="15" t="n">
        <v>0.7</v>
      </c>
    </row>
    <row r="40" customFormat="false" ht="15" hidden="false" customHeight="true" outlineLevel="0" collapsed="false">
      <c r="B40" s="10" t="s">
        <v>58</v>
      </c>
      <c r="D40" s="15" t="n">
        <v>0.7</v>
      </c>
    </row>
    <row r="41" customFormat="false" ht="15" hidden="false" customHeight="true" outlineLevel="0" collapsed="false">
      <c r="B41" s="10" t="s">
        <v>59</v>
      </c>
      <c r="D41" s="15" t="n">
        <v>0.45</v>
      </c>
    </row>
    <row r="42" customFormat="false" ht="15" hidden="false" customHeight="true" outlineLevel="0" collapsed="false">
      <c r="B42" s="10" t="s">
        <v>60</v>
      </c>
      <c r="D42" s="15" t="n">
        <v>0.18</v>
      </c>
    </row>
    <row r="43" customFormat="false" ht="15" hidden="false" customHeight="true" outlineLevel="0" collapsed="false">
      <c r="B43" s="10" t="s">
        <v>61</v>
      </c>
      <c r="C43" s="18" t="s">
        <v>62</v>
      </c>
      <c r="D43" s="20" t="n">
        <v>1200</v>
      </c>
    </row>
    <row r="44" customFormat="false" ht="15" hidden="false" customHeight="true" outlineLevel="0" collapsed="false">
      <c r="B44" s="10" t="s">
        <v>63</v>
      </c>
      <c r="C44" s="18" t="s">
        <v>35</v>
      </c>
      <c r="D44" s="19" t="n">
        <v>900000000</v>
      </c>
    </row>
    <row r="46" customFormat="false" ht="15" hidden="false" customHeight="true" outlineLevel="0" collapsed="false">
      <c r="B46" s="8" t="s">
        <v>64</v>
      </c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</row>
    <row r="47" customFormat="false" ht="15" hidden="false" customHeight="true" outlineLevel="0" collapsed="false">
      <c r="B47" s="10" t="s">
        <v>65</v>
      </c>
      <c r="D47" s="13" t="n">
        <v>60</v>
      </c>
    </row>
    <row r="48" customFormat="false" ht="15" hidden="false" customHeight="true" outlineLevel="0" collapsed="false">
      <c r="B48" s="10" t="s">
        <v>66</v>
      </c>
      <c r="D48" s="13" t="n">
        <v>45</v>
      </c>
    </row>
    <row r="49" customFormat="false" ht="15" hidden="false" customHeight="true" outlineLevel="0" collapsed="false">
      <c r="B49" s="10" t="s">
        <v>67</v>
      </c>
      <c r="D49" s="13" t="n">
        <v>30</v>
      </c>
    </row>
    <row r="50" customFormat="false" ht="15" hidden="false" customHeight="true" outlineLevel="0" collapsed="false">
      <c r="B50" s="10" t="s">
        <v>68</v>
      </c>
      <c r="D50" s="15" t="n">
        <v>0.3</v>
      </c>
    </row>
    <row r="51" customFormat="false" ht="15" hidden="false" customHeight="true" outlineLevel="0" collapsed="false">
      <c r="B51" s="10" t="s">
        <v>69</v>
      </c>
      <c r="D51" s="13" t="n">
        <v>360</v>
      </c>
    </row>
    <row r="52" customFormat="false" ht="15" hidden="false" customHeight="true" outlineLevel="0" collapsed="false">
      <c r="B52" s="8" t="s">
        <v>70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</row>
    <row r="53" customFormat="false" ht="15" hidden="false" customHeight="true" outlineLevel="0" collapsed="false">
      <c r="B53" s="10" t="s">
        <v>71</v>
      </c>
      <c r="D53" s="15" t="n">
        <v>0.35</v>
      </c>
    </row>
    <row r="54" customFormat="false" ht="15" hidden="false" customHeight="true" outlineLevel="0" collapsed="false">
      <c r="B54" s="10" t="s">
        <v>72</v>
      </c>
      <c r="D54" s="15" t="n">
        <v>0.18</v>
      </c>
    </row>
    <row r="55" customFormat="false" ht="15" hidden="false" customHeight="true" outlineLevel="0" collapsed="false">
      <c r="B55" s="4" t="s">
        <v>73</v>
      </c>
      <c r="D55" s="14" t="n">
        <f aca="false">D31*D32*(1-D53)+(1-D31)*D54</f>
        <v>0.1188</v>
      </c>
    </row>
    <row r="56" customFormat="false" ht="15" hidden="false" customHeight="true" outlineLevel="0" collapsed="false">
      <c r="B56" s="10" t="s">
        <v>74</v>
      </c>
      <c r="D56" s="22" t="s">
        <v>75</v>
      </c>
      <c r="E56" s="22"/>
      <c r="F56" s="22"/>
      <c r="G56" s="22"/>
      <c r="H56" s="22"/>
      <c r="I56" s="22"/>
      <c r="J56" s="22"/>
      <c r="K56" s="22"/>
      <c r="L56" s="22"/>
      <c r="M56" s="22"/>
    </row>
    <row r="57" customFormat="false" ht="15" hidden="false" customHeight="true" outlineLevel="0" collapsed="false">
      <c r="B57" s="10" t="s">
        <v>76</v>
      </c>
      <c r="D57" s="23" t="n">
        <v>1.2</v>
      </c>
    </row>
    <row r="58" customFormat="false" ht="15" hidden="false" customHeight="true" outlineLevel="0" collapsed="false">
      <c r="B58" s="8" t="s">
        <v>77</v>
      </c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customFormat="false" ht="15" hidden="false" customHeight="true" outlineLevel="0" collapsed="false">
      <c r="B59" s="10" t="s">
        <v>78</v>
      </c>
      <c r="D59" s="15" t="n">
        <v>1</v>
      </c>
    </row>
    <row r="60" customFormat="false" ht="15" hidden="false" customHeight="true" outlineLevel="0" collapsed="false">
      <c r="B60" s="10" t="s">
        <v>79</v>
      </c>
      <c r="D60" s="15" t="n">
        <v>1</v>
      </c>
    </row>
  </sheetData>
  <mergeCells count="1">
    <mergeCell ref="D56:M5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7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5" topLeftCell="D6" activePane="bottomRight" state="frozen"/>
      <selection pane="topLeft" activeCell="A1" activeCellId="0" sqref="A1"/>
      <selection pane="topRight" activeCell="D1" activeCellId="0" sqref="D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80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15" hidden="false" customHeight="true" outlineLevel="0" collapsed="false">
      <c r="B4" s="4" t="s">
        <v>81</v>
      </c>
      <c r="D4" s="24" t="n">
        <f aca="false">'1.Inputs'!D9</f>
        <v>2027</v>
      </c>
      <c r="E4" s="25" t="n">
        <f aca="false">D4+1</f>
        <v>2028</v>
      </c>
      <c r="F4" s="25" t="n">
        <f aca="false">E4+1</f>
        <v>2029</v>
      </c>
      <c r="G4" s="25" t="n">
        <f aca="false">F4+1</f>
        <v>2030</v>
      </c>
      <c r="H4" s="25" t="n">
        <f aca="false">G4+1</f>
        <v>2031</v>
      </c>
      <c r="I4" s="25" t="n">
        <f aca="false">H4+1</f>
        <v>2032</v>
      </c>
      <c r="J4" s="25" t="n">
        <f aca="false">I4+1</f>
        <v>2033</v>
      </c>
      <c r="K4" s="25" t="n">
        <f aca="false">J4+1</f>
        <v>2034</v>
      </c>
      <c r="L4" s="25" t="n">
        <f aca="false">K4+1</f>
        <v>2035</v>
      </c>
      <c r="M4" s="25" t="n">
        <f aca="false">L4+1</f>
        <v>2036</v>
      </c>
      <c r="N4" s="25" t="n">
        <f aca="false">M4+1</f>
        <v>2037</v>
      </c>
    </row>
    <row r="5" customFormat="false" ht="15" hidden="false" customHeight="true" outlineLevel="0" collapsed="false">
      <c r="B5" s="4" t="s">
        <v>82</v>
      </c>
      <c r="D5" s="25" t="n">
        <v>0</v>
      </c>
      <c r="E5" s="25" t="n">
        <v>1</v>
      </c>
      <c r="F5" s="25" t="n">
        <v>2</v>
      </c>
      <c r="G5" s="25" t="n">
        <v>3</v>
      </c>
      <c r="H5" s="25" t="n">
        <v>4</v>
      </c>
      <c r="I5" s="25" t="n">
        <v>5</v>
      </c>
      <c r="J5" s="25" t="n">
        <v>6</v>
      </c>
      <c r="K5" s="25" t="n">
        <v>7</v>
      </c>
      <c r="L5" s="25" t="n">
        <v>8</v>
      </c>
      <c r="M5" s="25" t="n">
        <v>9</v>
      </c>
      <c r="N5" s="25" t="n">
        <v>10</v>
      </c>
    </row>
    <row r="6" customFormat="false" ht="15" hidden="false" customHeight="true" outlineLevel="0" collapsed="false">
      <c r="B6" s="10" t="s">
        <v>83</v>
      </c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8" customFormat="false" ht="15" hidden="false" customHeight="true" outlineLevel="0" collapsed="false">
      <c r="B8" s="8" t="s">
        <v>84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customFormat="false" ht="15" hidden="false" customHeight="true" outlineLevel="0" collapsed="false">
      <c r="B9" s="10" t="s">
        <v>85</v>
      </c>
      <c r="D9" s="27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customFormat="false" ht="15" hidden="false" customHeight="true" outlineLevel="0" collapsed="false">
      <c r="B10" s="10" t="s">
        <v>86</v>
      </c>
      <c r="C10" s="18" t="s">
        <v>87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</row>
    <row r="11" customFormat="false" ht="15" hidden="false" customHeight="true" outlineLevel="0" collapsed="false">
      <c r="B11" s="10" t="s">
        <v>88</v>
      </c>
      <c r="C11" s="18" t="s">
        <v>87</v>
      </c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</row>
    <row r="12" customFormat="false" ht="15" hidden="false" customHeight="true" outlineLevel="0" collapsed="false">
      <c r="B12" s="10" t="s">
        <v>89</v>
      </c>
      <c r="C12" s="18" t="s">
        <v>62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</row>
    <row r="14" customFormat="false" ht="15" hidden="false" customHeight="true" outlineLevel="0" collapsed="false">
      <c r="B14" s="8" t="s">
        <v>90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customFormat="false" ht="15" hidden="false" customHeight="true" outlineLevel="0" collapsed="false">
      <c r="B15" s="10" t="s">
        <v>91</v>
      </c>
      <c r="C15" s="18" t="s">
        <v>35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</row>
    <row r="16" customFormat="false" ht="15" hidden="false" customHeight="true" outlineLevel="0" collapsed="false">
      <c r="B16" s="10" t="s">
        <v>92</v>
      </c>
      <c r="C16" s="18" t="s">
        <v>35</v>
      </c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</row>
    <row r="17" customFormat="false" ht="15" hidden="false" customHeight="true" outlineLevel="0" collapsed="false">
      <c r="B17" s="10" t="s">
        <v>93</v>
      </c>
      <c r="C17" s="18" t="s">
        <v>35</v>
      </c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</row>
    <row r="18" customFormat="false" ht="15" hidden="false" customHeight="true" outlineLevel="0" collapsed="false">
      <c r="B18" s="10" t="s">
        <v>94</v>
      </c>
      <c r="C18" s="18" t="s">
        <v>35</v>
      </c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</row>
    <row r="19" customFormat="false" ht="15" hidden="false" customHeight="true" outlineLevel="0" collapsed="false">
      <c r="B19" s="4" t="s">
        <v>95</v>
      </c>
      <c r="C19" s="18" t="s">
        <v>35</v>
      </c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</row>
    <row r="20" customFormat="false" ht="15" hidden="false" customHeight="true" outlineLevel="0" collapsed="false">
      <c r="B20" s="10" t="s">
        <v>96</v>
      </c>
      <c r="C20" s="18" t="s">
        <v>35</v>
      </c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</row>
    <row r="21" customFormat="false" ht="15" hidden="false" customHeight="true" outlineLevel="0" collapsed="false">
      <c r="B21" s="10" t="s">
        <v>97</v>
      </c>
      <c r="C21" s="18" t="s">
        <v>35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</row>
    <row r="22" customFormat="false" ht="15" hidden="false" customHeight="true" outlineLevel="0" collapsed="false">
      <c r="B22" s="4" t="s">
        <v>98</v>
      </c>
      <c r="C22" s="18" t="s">
        <v>35</v>
      </c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</row>
    <row r="23" customFormat="false" ht="15" hidden="false" customHeight="true" outlineLevel="0" collapsed="false">
      <c r="B23" s="10" t="s">
        <v>99</v>
      </c>
      <c r="C23" s="18" t="s">
        <v>35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</row>
    <row r="24" customFormat="false" ht="15" hidden="false" customHeight="true" outlineLevel="0" collapsed="false">
      <c r="B24" s="10" t="s">
        <v>100</v>
      </c>
      <c r="C24" s="18" t="s">
        <v>35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customFormat="false" ht="15" hidden="false" customHeight="true" outlineLevel="0" collapsed="false">
      <c r="B25" s="10" t="s">
        <v>101</v>
      </c>
      <c r="C25" s="18" t="s">
        <v>35</v>
      </c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</row>
    <row r="26" customFormat="false" ht="15" hidden="false" customHeight="true" outlineLevel="0" collapsed="false">
      <c r="B26" s="10" t="s">
        <v>102</v>
      </c>
      <c r="C26" s="18" t="s">
        <v>35</v>
      </c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customFormat="false" ht="15" hidden="false" customHeight="true" outlineLevel="0" collapsed="false">
      <c r="B27" s="10" t="s">
        <v>103</v>
      </c>
      <c r="C27" s="18" t="s">
        <v>35</v>
      </c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</row>
    <row r="28" customFormat="false" ht="15" hidden="false" customHeight="true" outlineLevel="0" collapsed="false">
      <c r="B28" s="10" t="s">
        <v>104</v>
      </c>
      <c r="C28" s="18" t="s">
        <v>35</v>
      </c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</row>
    <row r="29" customFormat="false" ht="15" hidden="false" customHeight="true" outlineLevel="0" collapsed="false">
      <c r="B29" s="4" t="s">
        <v>105</v>
      </c>
      <c r="C29" s="18" t="s">
        <v>35</v>
      </c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</row>
    <row r="30" customFormat="false" ht="15" hidden="false" customHeight="true" outlineLevel="0" collapsed="false">
      <c r="B30" s="10" t="s">
        <v>106</v>
      </c>
      <c r="C30" s="18" t="s">
        <v>35</v>
      </c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</row>
    <row r="32" customFormat="false" ht="15" hidden="false" customHeight="true" outlineLevel="0" collapsed="false">
      <c r="B32" s="8" t="s">
        <v>107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</row>
    <row r="33" customFormat="false" ht="15" hidden="false" customHeight="true" outlineLevel="0" collapsed="false">
      <c r="B33" s="10" t="s">
        <v>108</v>
      </c>
      <c r="C33" s="18" t="s">
        <v>35</v>
      </c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</row>
    <row r="34" customFormat="false" ht="15" hidden="false" customHeight="true" outlineLevel="0" collapsed="false">
      <c r="B34" s="10" t="s">
        <v>109</v>
      </c>
      <c r="C34" s="18" t="s">
        <v>35</v>
      </c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</row>
    <row r="35" customFormat="false" ht="15" hidden="false" customHeight="true" outlineLevel="0" collapsed="false">
      <c r="B35" s="10" t="s">
        <v>110</v>
      </c>
      <c r="C35" s="18" t="s">
        <v>35</v>
      </c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</row>
    <row r="36" customFormat="false" ht="15" hidden="false" customHeight="true" outlineLevel="0" collapsed="false">
      <c r="B36" s="10" t="s">
        <v>111</v>
      </c>
      <c r="C36" s="18" t="s">
        <v>35</v>
      </c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</row>
    <row r="37" customFormat="false" ht="15" hidden="false" customHeight="true" outlineLevel="0" collapsed="false">
      <c r="B37" s="10" t="s">
        <v>112</v>
      </c>
      <c r="C37" s="18" t="s">
        <v>35</v>
      </c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</row>
    <row r="38" customFormat="false" ht="15" hidden="false" customHeight="true" outlineLevel="0" collapsed="false">
      <c r="B38" s="10" t="s">
        <v>113</v>
      </c>
      <c r="C38" s="18" t="s">
        <v>35</v>
      </c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</row>
    <row r="39" customFormat="false" ht="15" hidden="false" customHeight="true" outlineLevel="0" collapsed="false">
      <c r="B39" s="8" t="s">
        <v>114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</row>
    <row r="40" customFormat="false" ht="15" hidden="false" customHeight="true" outlineLevel="0" collapsed="false">
      <c r="B40" s="10" t="s">
        <v>115</v>
      </c>
      <c r="C40" s="18" t="s">
        <v>35</v>
      </c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</row>
    <row r="41" customFormat="false" ht="15" hidden="false" customHeight="true" outlineLevel="0" collapsed="false">
      <c r="B41" s="10" t="s">
        <v>116</v>
      </c>
      <c r="C41" s="18" t="s">
        <v>35</v>
      </c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42" customFormat="false" ht="15" hidden="false" customHeight="true" outlineLevel="0" collapsed="false">
      <c r="B42" s="10" t="s">
        <v>117</v>
      </c>
      <c r="C42" s="18" t="s">
        <v>35</v>
      </c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</row>
    <row r="43" customFormat="false" ht="15" hidden="false" customHeight="true" outlineLevel="0" collapsed="false">
      <c r="B43" s="10" t="s">
        <v>118</v>
      </c>
      <c r="C43" s="18" t="s">
        <v>35</v>
      </c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  <row r="44" customFormat="false" ht="15" hidden="false" customHeight="true" outlineLevel="0" collapsed="false">
      <c r="B44" s="10" t="s">
        <v>119</v>
      </c>
      <c r="C44" s="18" t="s">
        <v>35</v>
      </c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</row>
    <row r="45" customFormat="false" ht="15" hidden="false" customHeight="true" outlineLevel="0" collapsed="false">
      <c r="B45" s="10" t="s">
        <v>120</v>
      </c>
      <c r="C45" s="18" t="s">
        <v>35</v>
      </c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customFormat="false" ht="15" hidden="false" customHeight="true" outlineLevel="0" collapsed="false">
      <c r="B46" s="10" t="s">
        <v>121</v>
      </c>
      <c r="C46" s="18" t="s">
        <v>35</v>
      </c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</row>
    <row r="47" customFormat="false" ht="15" hidden="false" customHeight="true" outlineLevel="0" collapsed="false">
      <c r="B47" s="10" t="s">
        <v>122</v>
      </c>
      <c r="C47" s="18" t="s">
        <v>35</v>
      </c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customFormat="false" ht="15" hidden="false" customHeight="true" outlineLevel="0" collapsed="false">
      <c r="B48" s="10" t="s">
        <v>123</v>
      </c>
      <c r="C48" s="18" t="s">
        <v>35</v>
      </c>
      <c r="D48" s="31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customFormat="false" ht="15" hidden="false" customHeight="true" outlineLevel="0" collapsed="false">
      <c r="B49" s="10" t="s">
        <v>124</v>
      </c>
      <c r="C49" s="18" t="s">
        <v>35</v>
      </c>
      <c r="D49" s="31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customFormat="false" ht="15" hidden="false" customHeight="true" outlineLevel="0" collapsed="false">
      <c r="B50" s="10" t="s">
        <v>125</v>
      </c>
      <c r="C50" s="18" t="s">
        <v>35</v>
      </c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customFormat="false" ht="15" hidden="false" customHeight="true" outlineLevel="0" collapsed="false">
      <c r="B51" s="10" t="s">
        <v>126</v>
      </c>
      <c r="C51" s="18" t="s">
        <v>35</v>
      </c>
      <c r="D51" s="31"/>
      <c r="E51" s="29"/>
      <c r="F51" s="29"/>
      <c r="G51" s="29"/>
      <c r="H51" s="29"/>
      <c r="I51" s="29"/>
      <c r="J51" s="29"/>
      <c r="K51" s="29"/>
      <c r="L51" s="29"/>
      <c r="M51" s="29"/>
      <c r="N51" s="29"/>
    </row>
    <row r="52" customFormat="false" ht="15" hidden="false" customHeight="true" outlineLevel="0" collapsed="false">
      <c r="B52" s="4" t="s">
        <v>127</v>
      </c>
      <c r="C52" s="18" t="s">
        <v>35</v>
      </c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</row>
    <row r="53" customFormat="false" ht="15" hidden="false" customHeight="true" outlineLevel="0" collapsed="false">
      <c r="B53" s="4" t="s">
        <v>128</v>
      </c>
      <c r="C53" s="18" t="s">
        <v>35</v>
      </c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customFormat="false" ht="15" hidden="false" customHeight="true" outlineLevel="0" collapsed="false">
      <c r="B54" s="8" t="s">
        <v>129</v>
      </c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</row>
    <row r="55" customFormat="false" ht="15" hidden="false" customHeight="true" outlineLevel="0" collapsed="false">
      <c r="B55" s="10" t="s">
        <v>130</v>
      </c>
      <c r="C55" s="18" t="s">
        <v>35</v>
      </c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customFormat="false" ht="15" hidden="false" customHeight="true" outlineLevel="0" collapsed="false">
      <c r="B56" s="10" t="s">
        <v>131</v>
      </c>
      <c r="C56" s="18" t="s">
        <v>35</v>
      </c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customFormat="false" ht="15" hidden="false" customHeight="true" outlineLevel="0" collapsed="false">
      <c r="B57" s="10" t="s">
        <v>132</v>
      </c>
      <c r="C57" s="18" t="s">
        <v>35</v>
      </c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  <row r="59" customFormat="false" ht="15" hidden="false" customHeight="true" outlineLevel="0" collapsed="false">
      <c r="B59" s="8" t="s">
        <v>133</v>
      </c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</row>
    <row r="60" customFormat="false" ht="15" hidden="false" customHeight="true" outlineLevel="0" collapsed="false">
      <c r="B60" s="10" t="s">
        <v>134</v>
      </c>
      <c r="C60" s="18" t="s">
        <v>35</v>
      </c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</row>
    <row r="61" customFormat="false" ht="15" hidden="false" customHeight="true" outlineLevel="0" collapsed="false">
      <c r="B61" s="10" t="s">
        <v>108</v>
      </c>
      <c r="C61" s="18" t="s">
        <v>35</v>
      </c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customFormat="false" ht="15" hidden="false" customHeight="true" outlineLevel="0" collapsed="false">
      <c r="B62" s="10" t="s">
        <v>135</v>
      </c>
      <c r="C62" s="18" t="s">
        <v>35</v>
      </c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</row>
    <row r="63" customFormat="false" ht="15" hidden="false" customHeight="true" outlineLevel="0" collapsed="false">
      <c r="B63" s="10" t="s">
        <v>136</v>
      </c>
      <c r="C63" s="18" t="s">
        <v>35</v>
      </c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customFormat="false" ht="15" hidden="false" customHeight="true" outlineLevel="0" collapsed="false">
      <c r="B64" s="10" t="s">
        <v>137</v>
      </c>
      <c r="C64" s="18" t="s">
        <v>35</v>
      </c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customFormat="false" ht="15" hidden="false" customHeight="true" outlineLevel="0" collapsed="false">
      <c r="B65" s="10" t="s">
        <v>138</v>
      </c>
      <c r="C65" s="18" t="s">
        <v>35</v>
      </c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</row>
    <row r="66" customFormat="false" ht="15" hidden="false" customHeight="true" outlineLevel="0" collapsed="false">
      <c r="B66" s="10" t="s">
        <v>139</v>
      </c>
      <c r="C66" s="18" t="s">
        <v>35</v>
      </c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</row>
    <row r="67" customFormat="false" ht="15" hidden="false" customHeight="true" outlineLevel="0" collapsed="false">
      <c r="B67" s="10" t="s">
        <v>140</v>
      </c>
      <c r="C67" s="18" t="s">
        <v>35</v>
      </c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</row>
    <row r="68" customFormat="false" ht="15" hidden="false" customHeight="true" outlineLevel="0" collapsed="false">
      <c r="B68" s="4" t="s">
        <v>141</v>
      </c>
      <c r="C68" s="18" t="s">
        <v>35</v>
      </c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</row>
    <row r="70" customFormat="false" ht="15" hidden="false" customHeight="true" outlineLevel="0" collapsed="false">
      <c r="B70" s="10" t="s">
        <v>110</v>
      </c>
      <c r="C70" s="18" t="s">
        <v>35</v>
      </c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customFormat="false" ht="15" hidden="false" customHeight="true" outlineLevel="0" collapsed="false">
      <c r="B71" s="10" t="s">
        <v>142</v>
      </c>
      <c r="C71" s="18" t="s">
        <v>35</v>
      </c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</row>
    <row r="72" customFormat="false" ht="15" hidden="false" customHeight="true" outlineLevel="0" collapsed="false">
      <c r="B72" s="10" t="s">
        <v>112</v>
      </c>
      <c r="C72" s="18" t="s">
        <v>35</v>
      </c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customFormat="false" ht="15" hidden="false" customHeight="true" outlineLevel="0" collapsed="false">
      <c r="B73" s="10" t="s">
        <v>143</v>
      </c>
      <c r="C73" s="18" t="s">
        <v>35</v>
      </c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customFormat="false" ht="15" hidden="false" customHeight="true" outlineLevel="0" collapsed="false">
      <c r="B74" s="4" t="s">
        <v>144</v>
      </c>
      <c r="C74" s="18" t="s">
        <v>35</v>
      </c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</row>
    <row r="75" customFormat="false" ht="15" hidden="false" customHeight="true" outlineLevel="0" collapsed="false">
      <c r="B75" s="10" t="s">
        <v>145</v>
      </c>
      <c r="C75" s="18" t="s">
        <v>35</v>
      </c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</row>
    <row r="76" customFormat="false" ht="15" hidden="false" customHeight="true" outlineLevel="0" collapsed="false">
      <c r="B76" s="10" t="s">
        <v>146</v>
      </c>
      <c r="C76" s="18" t="s">
        <v>35</v>
      </c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</row>
    <row r="77" customFormat="false" ht="15" hidden="false" customHeight="true" outlineLevel="0" collapsed="false">
      <c r="B77" s="4" t="s">
        <v>147</v>
      </c>
      <c r="C77" s="18" t="s">
        <v>35</v>
      </c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</row>
    <row r="78" customFormat="false" ht="15" hidden="false" customHeight="true" outlineLevel="0" collapsed="false">
      <c r="B78" s="4" t="s">
        <v>148</v>
      </c>
      <c r="C78" s="18" t="s">
        <v>35</v>
      </c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</row>
    <row r="79" customFormat="false" ht="15" hidden="false" customHeight="true" outlineLevel="0" collapsed="false">
      <c r="B79" s="4" t="s">
        <v>149</v>
      </c>
      <c r="C79" s="18" t="s">
        <v>35</v>
      </c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3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5" topLeftCell="D6" activePane="bottomRight" state="frozen"/>
      <selection pane="topLeft" activeCell="A1" activeCellId="0" sqref="A1"/>
      <selection pane="topRight" activeCell="D1" activeCellId="0" sqref="D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150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15" hidden="false" customHeight="true" outlineLevel="0" collapsed="false">
      <c r="B4" s="4" t="s">
        <v>81</v>
      </c>
      <c r="D4" s="24" t="n">
        <f aca="false">'2.Estados'!D4</f>
        <v>2027</v>
      </c>
      <c r="E4" s="25" t="n">
        <f aca="false">D4+1</f>
        <v>2028</v>
      </c>
      <c r="F4" s="25" t="n">
        <f aca="false">E4+1</f>
        <v>2029</v>
      </c>
      <c r="G4" s="25" t="n">
        <f aca="false">F4+1</f>
        <v>2030</v>
      </c>
      <c r="H4" s="25" t="n">
        <f aca="false">G4+1</f>
        <v>2031</v>
      </c>
      <c r="I4" s="25" t="n">
        <f aca="false">H4+1</f>
        <v>2032</v>
      </c>
      <c r="J4" s="25" t="n">
        <f aca="false">I4+1</f>
        <v>2033</v>
      </c>
      <c r="K4" s="25" t="n">
        <f aca="false">J4+1</f>
        <v>2034</v>
      </c>
      <c r="L4" s="25" t="n">
        <f aca="false">K4+1</f>
        <v>2035</v>
      </c>
      <c r="M4" s="25" t="n">
        <f aca="false">L4+1</f>
        <v>2036</v>
      </c>
      <c r="N4" s="25" t="n">
        <f aca="false">M4+1</f>
        <v>2037</v>
      </c>
    </row>
    <row r="5" customFormat="false" ht="15" hidden="false" customHeight="true" outlineLevel="0" collapsed="false">
      <c r="B5" s="4" t="s">
        <v>82</v>
      </c>
      <c r="D5" s="25" t="n">
        <v>0</v>
      </c>
      <c r="E5" s="25" t="n">
        <v>1</v>
      </c>
      <c r="F5" s="25" t="n">
        <v>2</v>
      </c>
      <c r="G5" s="25" t="n">
        <v>3</v>
      </c>
      <c r="H5" s="25" t="n">
        <v>4</v>
      </c>
      <c r="I5" s="25" t="n">
        <v>5</v>
      </c>
      <c r="J5" s="25" t="n">
        <v>6</v>
      </c>
      <c r="K5" s="25" t="n">
        <v>7</v>
      </c>
      <c r="L5" s="25" t="n">
        <v>8</v>
      </c>
      <c r="M5" s="25" t="n">
        <v>9</v>
      </c>
      <c r="N5" s="25" t="n">
        <v>10</v>
      </c>
    </row>
    <row r="7" customFormat="false" ht="15" hidden="false" customHeight="true" outlineLevel="0" collapsed="false">
      <c r="B7" s="8" t="s">
        <v>151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customFormat="false" ht="15" hidden="false" customHeight="true" outlineLevel="0" collapsed="false">
      <c r="B8" s="10" t="s">
        <v>152</v>
      </c>
      <c r="C8" s="18" t="s">
        <v>35</v>
      </c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customFormat="false" ht="15" hidden="false" customHeight="true" outlineLevel="0" collapsed="false">
      <c r="B9" s="10" t="s">
        <v>153</v>
      </c>
      <c r="C9" s="18" t="s">
        <v>35</v>
      </c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</row>
    <row r="10" customFormat="false" ht="15" hidden="false" customHeight="true" outlineLevel="0" collapsed="false">
      <c r="B10" s="10" t="s">
        <v>116</v>
      </c>
      <c r="C10" s="18" t="s">
        <v>35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</row>
    <row r="11" customFormat="false" ht="15" hidden="false" customHeight="true" outlineLevel="0" collapsed="false">
      <c r="B11" s="10" t="s">
        <v>154</v>
      </c>
      <c r="C11" s="18" t="s">
        <v>35</v>
      </c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</row>
    <row r="12" customFormat="false" ht="15" hidden="false" customHeight="true" outlineLevel="0" collapsed="false">
      <c r="B12" s="10" t="s">
        <v>123</v>
      </c>
      <c r="C12" s="18" t="s">
        <v>35</v>
      </c>
      <c r="D12" s="31"/>
      <c r="E12" s="29"/>
      <c r="F12" s="29"/>
      <c r="G12" s="29"/>
      <c r="H12" s="29"/>
      <c r="I12" s="29"/>
      <c r="J12" s="29"/>
      <c r="K12" s="29"/>
      <c r="L12" s="29"/>
      <c r="M12" s="29"/>
      <c r="N12" s="29"/>
    </row>
    <row r="13" customFormat="false" ht="15" hidden="false" customHeight="true" outlineLevel="0" collapsed="false">
      <c r="B13" s="10" t="s">
        <v>155</v>
      </c>
      <c r="C13" s="18" t="s">
        <v>35</v>
      </c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</row>
    <row r="14" customFormat="false" ht="15" hidden="false" customHeight="true" outlineLevel="0" collapsed="false">
      <c r="B14" s="4" t="s">
        <v>156</v>
      </c>
      <c r="C14" s="18" t="s">
        <v>35</v>
      </c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</row>
    <row r="15" customFormat="false" ht="15" hidden="false" customHeight="true" outlineLevel="0" collapsed="false">
      <c r="B15" s="10" t="s">
        <v>157</v>
      </c>
      <c r="C15" s="18" t="s">
        <v>35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</row>
    <row r="17" customFormat="false" ht="15" hidden="false" customHeight="true" outlineLevel="0" collapsed="false">
      <c r="B17" s="8" t="s">
        <v>158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customFormat="false" ht="15" hidden="false" customHeight="true" outlineLevel="0" collapsed="false">
      <c r="B18" s="10" t="s">
        <v>159</v>
      </c>
      <c r="C18" s="18" t="s">
        <v>35</v>
      </c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</row>
    <row r="19" customFormat="false" ht="15" hidden="false" customHeight="true" outlineLevel="0" collapsed="false">
      <c r="B19" s="10" t="s">
        <v>160</v>
      </c>
      <c r="C19" s="18" t="s">
        <v>35</v>
      </c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</row>
    <row r="20" customFormat="false" ht="15" hidden="false" customHeight="true" outlineLevel="0" collapsed="false">
      <c r="B20" s="10" t="s">
        <v>161</v>
      </c>
      <c r="C20" s="18" t="s">
        <v>35</v>
      </c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</row>
    <row r="21" customFormat="false" ht="15" hidden="false" customHeight="true" outlineLevel="0" collapsed="false">
      <c r="B21" s="10" t="s">
        <v>162</v>
      </c>
      <c r="C21" s="18" t="s">
        <v>35</v>
      </c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</row>
    <row r="22" customFormat="false" ht="15" hidden="false" customHeight="true" outlineLevel="0" collapsed="false">
      <c r="B22" s="10" t="s">
        <v>163</v>
      </c>
      <c r="C22" s="18" t="s">
        <v>35</v>
      </c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</row>
    <row r="23" customFormat="false" ht="15" hidden="false" customHeight="true" outlineLevel="0" collapsed="false">
      <c r="B23" s="10" t="s">
        <v>164</v>
      </c>
      <c r="C23" s="18" t="s">
        <v>35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</row>
    <row r="24" customFormat="false" ht="15" hidden="false" customHeight="true" outlineLevel="0" collapsed="false">
      <c r="B24" s="4" t="s">
        <v>165</v>
      </c>
      <c r="C24" s="18" t="s">
        <v>35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6" customFormat="false" ht="15" hidden="false" customHeight="true" outlineLevel="0" collapsed="false">
      <c r="B26" s="8" t="s">
        <v>166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</row>
    <row r="27" customFormat="false" ht="15" hidden="false" customHeight="true" outlineLevel="0" collapsed="false">
      <c r="B27" s="10" t="s">
        <v>167</v>
      </c>
      <c r="C27" s="18" t="s">
        <v>35</v>
      </c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</row>
    <row r="28" customFormat="false" ht="15" hidden="false" customHeight="true" outlineLevel="0" collapsed="false">
      <c r="B28" s="10" t="s">
        <v>168</v>
      </c>
      <c r="C28" s="18" t="s">
        <v>35</v>
      </c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</row>
    <row r="29" customFormat="false" ht="15" hidden="false" customHeight="true" outlineLevel="0" collapsed="false">
      <c r="B29" s="10" t="s">
        <v>166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</row>
    <row r="31" customFormat="false" ht="15" hidden="false" customHeight="true" outlineLevel="0" collapsed="false">
      <c r="B31" s="8" t="s">
        <v>169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</row>
    <row r="32" customFormat="false" ht="15" hidden="false" customHeight="true" outlineLevel="0" collapsed="false">
      <c r="B32" s="10" t="s">
        <v>170</v>
      </c>
      <c r="D32" s="28"/>
    </row>
    <row r="33" customFormat="false" ht="15" hidden="false" customHeight="true" outlineLevel="0" collapsed="false">
      <c r="B33" s="10" t="s">
        <v>171</v>
      </c>
      <c r="D33" s="27"/>
    </row>
    <row r="34" customFormat="false" ht="15" hidden="false" customHeight="true" outlineLevel="0" collapsed="false">
      <c r="B34" s="10" t="s">
        <v>172</v>
      </c>
      <c r="D34" s="27"/>
    </row>
    <row r="35" customFormat="false" ht="15" hidden="false" customHeight="true" outlineLevel="0" collapsed="false">
      <c r="B35" s="10" t="s">
        <v>173</v>
      </c>
      <c r="D35" s="28"/>
    </row>
    <row r="36" customFormat="false" ht="15" hidden="false" customHeight="true" outlineLevel="0" collapsed="false">
      <c r="B36" s="4" t="s">
        <v>174</v>
      </c>
      <c r="D36" s="27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9"/>
    <col collapsed="false" customWidth="true" hidden="false" outlineLevel="0" max="15" min="4" style="1" width="12"/>
  </cols>
  <sheetData>
    <row r="2" customFormat="false" ht="15" hidden="false" customHeight="true" outlineLevel="0" collapsed="false">
      <c r="B2" s="2" t="s">
        <v>175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customFormat="false" ht="15" hidden="false" customHeight="true" outlineLevel="0" collapsed="false">
      <c r="B3" s="33" t="str">
        <f aca="false">"Escenario activo: "&amp;CHOOSE('1.Inputs'!D6,"BASE","OPTIMISTA","PESIMISTA")</f>
        <v>Escenario activo: BASE</v>
      </c>
    </row>
    <row r="5" customFormat="false" ht="15" hidden="false" customHeight="true" outlineLevel="0" collapsed="false">
      <c r="B5" s="8" t="s">
        <v>176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customFormat="false" ht="15" hidden="false" customHeight="true" outlineLevel="0" collapsed="false">
      <c r="B6" s="10" t="s">
        <v>174</v>
      </c>
      <c r="D6" s="28"/>
    </row>
    <row r="7" customFormat="false" ht="15" hidden="false" customHeight="true" outlineLevel="0" collapsed="false">
      <c r="B7" s="10" t="s">
        <v>177</v>
      </c>
      <c r="C7" s="18" t="s">
        <v>35</v>
      </c>
      <c r="D7" s="29"/>
    </row>
    <row r="8" customFormat="false" ht="15" hidden="false" customHeight="true" outlineLevel="0" collapsed="false">
      <c r="B8" s="10" t="s">
        <v>178</v>
      </c>
      <c r="D8" s="27"/>
    </row>
    <row r="9" customFormat="false" ht="15" hidden="false" customHeight="true" outlineLevel="0" collapsed="false">
      <c r="B9" s="10" t="s">
        <v>179</v>
      </c>
      <c r="D9" s="27"/>
    </row>
    <row r="10" customFormat="false" ht="15" hidden="false" customHeight="true" outlineLevel="0" collapsed="false">
      <c r="B10" s="10" t="s">
        <v>180</v>
      </c>
      <c r="D10" s="34"/>
    </row>
    <row r="11" customFormat="false" ht="15" hidden="false" customHeight="true" outlineLevel="0" collapsed="false">
      <c r="B11" s="10" t="s">
        <v>181</v>
      </c>
      <c r="C11" s="18" t="s">
        <v>45</v>
      </c>
      <c r="D11" s="35"/>
    </row>
    <row r="13" customFormat="false" ht="15" hidden="false" customHeight="true" outlineLevel="0" collapsed="false">
      <c r="B13" s="8" t="s">
        <v>182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customFormat="false" ht="15" hidden="false" customHeight="true" outlineLevel="0" collapsed="false">
      <c r="B14" s="10" t="s">
        <v>173</v>
      </c>
      <c r="D14" s="28"/>
    </row>
    <row r="15" customFormat="false" ht="15" hidden="false" customHeight="true" outlineLevel="0" collapsed="false">
      <c r="B15" s="10" t="s">
        <v>183</v>
      </c>
      <c r="C15" s="18" t="s">
        <v>35</v>
      </c>
      <c r="D15" s="29"/>
    </row>
    <row r="16" customFormat="false" ht="15" hidden="false" customHeight="true" outlineLevel="0" collapsed="false">
      <c r="B16" s="10" t="s">
        <v>184</v>
      </c>
      <c r="D16" s="27"/>
    </row>
    <row r="18" customFormat="false" ht="15" hidden="false" customHeight="true" outlineLevel="0" collapsed="false">
      <c r="B18" s="8" t="s">
        <v>185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customFormat="false" ht="15" hidden="false" customHeight="true" outlineLevel="0" collapsed="false">
      <c r="B19" s="10" t="s">
        <v>186</v>
      </c>
      <c r="D19" s="32"/>
    </row>
    <row r="20" customFormat="false" ht="15" hidden="false" customHeight="true" outlineLevel="0" collapsed="false">
      <c r="B20" s="10" t="s">
        <v>187</v>
      </c>
      <c r="C20" s="18" t="s">
        <v>35</v>
      </c>
      <c r="D20" s="29"/>
    </row>
    <row r="21" customFormat="false" ht="15" hidden="false" customHeight="true" outlineLevel="0" collapsed="false">
      <c r="B21" s="10" t="s">
        <v>188</v>
      </c>
      <c r="C21" s="18" t="s">
        <v>35</v>
      </c>
      <c r="D21" s="29"/>
    </row>
    <row r="22" customFormat="false" ht="15" hidden="false" customHeight="true" outlineLevel="0" collapsed="false">
      <c r="B22" s="10" t="s">
        <v>189</v>
      </c>
      <c r="D22" s="32"/>
    </row>
    <row r="23" customFormat="false" ht="15" hidden="false" customHeight="true" outlineLevel="0" collapsed="false">
      <c r="B23" s="8" t="s">
        <v>190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customFormat="false" ht="15" hidden="false" customHeight="true" outlineLevel="0" collapsed="false">
      <c r="B24" s="10" t="s">
        <v>191</v>
      </c>
      <c r="D24" s="36"/>
      <c r="E24" s="36"/>
      <c r="F24" s="36"/>
      <c r="G24" s="36"/>
      <c r="H24" s="36"/>
      <c r="I24" s="36"/>
      <c r="J24" s="36"/>
      <c r="K24" s="36"/>
    </row>
    <row r="25" customFormat="false" ht="15" hidden="false" customHeight="true" outlineLevel="0" collapsed="false">
      <c r="B25" s="10" t="s">
        <v>192</v>
      </c>
      <c r="D25" s="36"/>
      <c r="E25" s="36"/>
      <c r="F25" s="36"/>
      <c r="G25" s="36"/>
      <c r="H25" s="36"/>
      <c r="I25" s="36"/>
      <c r="J25" s="36"/>
      <c r="K25" s="36"/>
    </row>
    <row r="26" customFormat="false" ht="15" hidden="false" customHeight="true" outlineLevel="0" collapsed="false">
      <c r="B26" s="10" t="s">
        <v>193</v>
      </c>
      <c r="D26" s="37"/>
    </row>
  </sheetData>
  <mergeCells count="2">
    <mergeCell ref="D24:K24"/>
    <mergeCell ref="D25:K2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O3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3" topLeftCell="D4" activePane="bottomRight" state="frozen"/>
      <selection pane="topLeft" activeCell="A1" activeCellId="0" sqref="A1"/>
      <selection pane="topRight" activeCell="D1" activeCellId="0" sqref="D1"/>
      <selection pane="bottomLeft" activeCell="A4" activeCellId="0" sqref="A4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8"/>
    <col collapsed="false" customWidth="true" hidden="false" outlineLevel="0" max="3" min="3" style="1" width="9"/>
    <col collapsed="false" customWidth="true" hidden="false" outlineLevel="0" max="5" min="4" style="1" width="12"/>
    <col collapsed="false" customWidth="true" hidden="false" outlineLevel="0" max="6" min="6" style="1" width="18"/>
    <col collapsed="false" customWidth="true" hidden="false" outlineLevel="0" max="15" min="7" style="1" width="12"/>
  </cols>
  <sheetData>
    <row r="2" customFormat="false" ht="15" hidden="false" customHeight="true" outlineLevel="0" collapsed="false">
      <c r="B2" s="2" t="s">
        <v>194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customFormat="false" ht="15" hidden="false" customHeight="true" outlineLevel="0" collapsed="false">
      <c r="B4" s="4" t="s">
        <v>195</v>
      </c>
      <c r="D4" s="4" t="s">
        <v>196</v>
      </c>
      <c r="F4" s="4" t="s">
        <v>197</v>
      </c>
    </row>
    <row r="5" customFormat="false" ht="15" hidden="false" customHeight="true" outlineLevel="0" collapsed="false">
      <c r="B5" s="10" t="s">
        <v>198</v>
      </c>
      <c r="D5" s="12" t="str">
        <f aca="false">IF(SUMPRODUCT(('2.Estados'!D79:N79)*('2.Estados'!D79:N79))&lt;1,"OK","ERROR")</f>
        <v>OK</v>
      </c>
      <c r="F5" s="21" t="n">
        <f aca="false">SUMPRODUCT(('2.Estados'!D79:N79)*('2.Estados'!D79:N79))</f>
        <v>0</v>
      </c>
    </row>
    <row r="6" customFormat="false" ht="15" hidden="false" customHeight="true" outlineLevel="0" collapsed="false">
      <c r="B6" s="10" t="s">
        <v>199</v>
      </c>
      <c r="D6" s="12" t="str">
        <f aca="false">IF(MIN('2.Estados'!D60:N60)&gt;=0,"OK","ALERTA")</f>
        <v>OK</v>
      </c>
      <c r="F6" s="21" t="n">
        <f aca="false">MIN('2.Estados'!D60:N60)</f>
        <v>0</v>
      </c>
    </row>
    <row r="7" customFormat="false" ht="15" hidden="false" customHeight="true" outlineLevel="0" collapsed="false">
      <c r="B7" s="10" t="s">
        <v>200</v>
      </c>
      <c r="D7" s="12" t="str">
        <f aca="false">IF(ABS('2.Estados'!N57)&lt;1,"OK","ERROR")</f>
        <v>OK</v>
      </c>
      <c r="F7" s="21" t="n">
        <f aca="false">'2.Estados'!N57</f>
        <v>0</v>
      </c>
    </row>
    <row r="8" customFormat="false" ht="15" hidden="false" customHeight="true" outlineLevel="0" collapsed="false">
      <c r="B8" s="10" t="s">
        <v>201</v>
      </c>
      <c r="D8" s="12" t="str">
        <f aca="false">IF(ABS('2.Estados'!D49+'2.Estados'!D51-'1.Inputs'!D24-'1.Inputs'!D35)&lt;1,"OK","ERROR")</f>
        <v>ERROR</v>
      </c>
      <c r="F8" s="21" t="n">
        <f aca="false">'2.Estados'!D49+'2.Estados'!D51</f>
        <v>0</v>
      </c>
    </row>
    <row r="9" customFormat="false" ht="15" hidden="false" customHeight="true" outlineLevel="0" collapsed="false">
      <c r="B9" s="10" t="s">
        <v>202</v>
      </c>
      <c r="D9" s="12" t="str">
        <f aca="false">IF(ABS('2.Estados'!D60-'1.Inputs'!D35)&lt;1,"OK","ERROR")</f>
        <v>ERROR</v>
      </c>
      <c r="F9" s="21" t="n">
        <f aca="false">'2.Estados'!D60</f>
        <v>0</v>
      </c>
    </row>
    <row r="10" customFormat="false" ht="15" hidden="false" customHeight="true" outlineLevel="0" collapsed="false">
      <c r="B10" s="10" t="s">
        <v>203</v>
      </c>
      <c r="D10" s="12" t="str">
        <f aca="false">IF(SUM('2.Estados'!E11:N11)&gt;SUM('2.Estados'!E10:N10),"OK","ERROR")</f>
        <v>ERROR</v>
      </c>
      <c r="F10" s="21" t="n">
        <f aca="false">SUM('2.Estados'!E11:N11)-SUM('2.Estados'!E10:N10)</f>
        <v>0</v>
      </c>
    </row>
    <row r="11" customFormat="false" ht="15" hidden="false" customHeight="true" outlineLevel="0" collapsed="false">
      <c r="B11" s="10" t="s">
        <v>204</v>
      </c>
      <c r="D11" s="12" t="str">
        <f aca="false">IF(ABS('2.Estados'!N66-('1.Inputs'!D23+'1.Inputs'!D20*'1.Inputs'!D10/'1.Inputs'!D27))&lt;1,"OK","ERROR")</f>
        <v>ERROR</v>
      </c>
      <c r="F11" s="21" t="n">
        <f aca="false">'2.Estados'!N66</f>
        <v>0</v>
      </c>
    </row>
    <row r="12" customFormat="false" ht="15" hidden="false" customHeight="true" outlineLevel="0" collapsed="false">
      <c r="B12" s="10" t="s">
        <v>205</v>
      </c>
      <c r="D12" s="12" t="str">
        <f aca="false">IF(ABS('3.FCL_WACC'!D14+'1.Inputs'!D24)&lt;1,"OK","ERROR")</f>
        <v>ERROR</v>
      </c>
      <c r="F12" s="21" t="n">
        <f aca="false">'3.FCL_WACC'!D14</f>
        <v>0</v>
      </c>
    </row>
    <row r="13" customFormat="false" ht="15" hidden="false" customHeight="true" outlineLevel="0" collapsed="false">
      <c r="B13" s="10" t="s">
        <v>206</v>
      </c>
      <c r="D13" s="12" t="str">
        <f aca="false">IF(ABS('3.FCL_WACC'!D24+'2.Estados'!D51)&lt;1,"OK","ERROR")</f>
        <v>OK</v>
      </c>
      <c r="F13" s="21" t="n">
        <f aca="false">'3.FCL_WACC'!D24</f>
        <v>0</v>
      </c>
    </row>
    <row r="14" customFormat="false" ht="15" hidden="false" customHeight="true" outlineLevel="0" collapsed="false">
      <c r="B14" s="10" t="s">
        <v>207</v>
      </c>
      <c r="D14" s="12" t="str">
        <f aca="false">IF(ABS('1.Inputs'!D55-'3.FCL_WACC'!D36)&lt;0.0001,"OK","ERROR")</f>
        <v>ERROR</v>
      </c>
      <c r="F14" s="21" t="n">
        <f aca="false">'3.FCL_WACC'!D36</f>
        <v>0</v>
      </c>
    </row>
    <row r="15" customFormat="false" ht="15" hidden="false" customHeight="true" outlineLevel="0" collapsed="false">
      <c r="B15" s="10" t="s">
        <v>208</v>
      </c>
      <c r="D15" s="12" t="str">
        <f aca="false">IF('4.Outputs'!D22&gt;'1.Inputs'!D57,"OK","ALERTA")</f>
        <v>ALERTA</v>
      </c>
      <c r="F15" s="21" t="n">
        <f aca="false">'4.Outputs'!D22</f>
        <v>0</v>
      </c>
    </row>
    <row r="16" customFormat="false" ht="15" hidden="false" customHeight="true" outlineLevel="0" collapsed="false">
      <c r="B16" s="10" t="s">
        <v>209</v>
      </c>
      <c r="D16" s="12" t="str">
        <f aca="false">IF(MIN('2.Estados'!E60:F60)&gt;=0,"OK","ALERTA")</f>
        <v>OK</v>
      </c>
      <c r="F16" s="21" t="n">
        <f aca="false">MIN('2.Estados'!E60:F60)</f>
        <v>0</v>
      </c>
    </row>
    <row r="17" customFormat="false" ht="15" hidden="false" customHeight="true" outlineLevel="0" collapsed="false">
      <c r="B17" s="10" t="s">
        <v>210</v>
      </c>
      <c r="D17" s="12" t="str">
        <f aca="false">IF(AND('1.Inputs'!D6&gt;=1,'1.Inputs'!D6&lt;=3),"OK","ERROR")</f>
        <v>OK</v>
      </c>
      <c r="F17" s="21" t="n">
        <f aca="false">'1.Inputs'!D6</f>
        <v>1</v>
      </c>
    </row>
    <row r="18" customFormat="false" ht="15" hidden="false" customHeight="true" outlineLevel="0" collapsed="false">
      <c r="B18" s="10" t="s">
        <v>211</v>
      </c>
      <c r="D18" s="12" t="str">
        <f aca="false">IF('1.Inputs'!D34&lt;'1.Inputs'!D33,"OK","ERROR")</f>
        <v>OK</v>
      </c>
      <c r="F18" s="21" t="n">
        <f aca="false">'1.Inputs'!D34</f>
        <v>2</v>
      </c>
    </row>
    <row r="19" customFormat="false" ht="15" hidden="false" customHeight="true" outlineLevel="0" collapsed="false">
      <c r="B19" s="10" t="s">
        <v>212</v>
      </c>
      <c r="D19" s="12" t="str">
        <f aca="false">IF(MIN('2.Estados'!D27:N27)&gt;=0,"OK","ERROR")</f>
        <v>OK</v>
      </c>
      <c r="F19" s="21" t="n">
        <f aca="false">MIN('2.Estados'!D27:N27)</f>
        <v>0</v>
      </c>
    </row>
    <row r="20" customFormat="false" ht="15" hidden="false" customHeight="true" outlineLevel="0" collapsed="false">
      <c r="B20" s="10" t="s">
        <v>213</v>
      </c>
      <c r="D20" s="12" t="str">
        <f aca="false">IF(SUM('2.Estados'!E26:N26)&lt;=SUM('2.Estados'!E25:N25)+1,"OK","ERROR")</f>
        <v>OK</v>
      </c>
      <c r="F20" s="21" t="n">
        <f aca="false">SUM('2.Estados'!E26:N26)</f>
        <v>0</v>
      </c>
    </row>
    <row r="21" customFormat="false" ht="15" hidden="false" customHeight="true" outlineLevel="0" collapsed="false">
      <c r="B21" s="10" t="s">
        <v>214</v>
      </c>
      <c r="D21" s="12" t="str">
        <f aca="false">IF(SUMPRODUCT(('2.Estados'!E30:N30&gt;'2.Estados'!D60:M60+1)*('2.Estados'!E30:N30&gt;0))=0,"OK","ERROR")</f>
        <v>OK</v>
      </c>
      <c r="F21" s="21" t="n">
        <f aca="false">MAX('2.Estados'!E30:N30)</f>
        <v>0</v>
      </c>
    </row>
    <row r="22" customFormat="false" ht="15" hidden="false" customHeight="true" outlineLevel="0" collapsed="false">
      <c r="B22" s="10" t="s">
        <v>215</v>
      </c>
      <c r="D22" s="12" t="str">
        <f aca="false">IF(MAX('2.Estados'!D9:N9)&lt;=1,"OK","ERROR")</f>
        <v>OK</v>
      </c>
      <c r="F22" s="21" t="n">
        <f aca="false">MAX('2.Estados'!D9:N9)</f>
        <v>0</v>
      </c>
    </row>
    <row r="23" customFormat="false" ht="15" hidden="false" customHeight="true" outlineLevel="0" collapsed="false">
      <c r="B23" s="10" t="s">
        <v>216</v>
      </c>
      <c r="D23" s="12" t="str">
        <f aca="false">IF(SUMPRODUCT(('2.Estados'!D23:N23-'2.Estados'!D47:N47)*('2.Estados'!D23:N23-'2.Estados'!D47:N47))&lt;1,"OK","ERROR")</f>
        <v>OK</v>
      </c>
      <c r="F23" s="21" t="n">
        <f aca="false">SUMPRODUCT(('2.Estados'!D23:N23-'2.Estados'!D47:N47)*('2.Estados'!D23:N23-'2.Estados'!D47:N47))</f>
        <v>0</v>
      </c>
    </row>
    <row r="24" customFormat="false" ht="15" hidden="false" customHeight="true" outlineLevel="0" collapsed="false">
      <c r="B24" s="10" t="s">
        <v>217</v>
      </c>
      <c r="D24" s="12" t="str">
        <f aca="false">IF(SUMPRODUCT(('2.Estados'!D38:N38-('2.Estados'!D33:N33+'2.Estados'!D34:N34-'2.Estados'!D35:N35))*('2.Estados'!D38:N38-('2.Estados'!D33:N33+'2.Estados'!D34:N34-'2.Estados'!D35:N35)))&lt;1,"OK","ERROR")</f>
        <v>OK</v>
      </c>
      <c r="F24" s="21" t="n">
        <f aca="false">'2.Estados'!N38</f>
        <v>0</v>
      </c>
    </row>
    <row r="25" customFormat="false" ht="15" hidden="false" customHeight="true" outlineLevel="0" collapsed="false">
      <c r="B25" s="10" t="s">
        <v>218</v>
      </c>
      <c r="D25" s="12" t="str">
        <f aca="false">IF(ABS(SUM('3.FCL_WACC'!D11:N11)+'2.Estados'!N38)&lt;1,"OK","ERROR")</f>
        <v>OK</v>
      </c>
      <c r="F25" s="21" t="n">
        <f aca="false">SUM('3.FCL_WACC'!D11:N11)</f>
        <v>0</v>
      </c>
    </row>
    <row r="26" customFormat="false" ht="15" hidden="false" customHeight="true" outlineLevel="0" collapsed="false">
      <c r="B26" s="10" t="s">
        <v>219</v>
      </c>
      <c r="D26" s="12" t="str">
        <f aca="false">IF(ABS('3.FCL_WACC'!N13-(('1.Inputs'!D20+'1.Inputs'!D23-'2.Estados'!N66)*'1.Inputs'!D60+'1.Inputs'!D19*'1.Inputs'!D59+'2.Estados'!N38))&lt;1,"OK","ERROR")</f>
        <v>ERROR</v>
      </c>
      <c r="F26" s="21" t="n">
        <f aca="false">'3.FCL_WACC'!N13</f>
        <v>0</v>
      </c>
    </row>
    <row r="27" customFormat="false" ht="15" hidden="false" customHeight="true" outlineLevel="0" collapsed="false">
      <c r="B27" s="10" t="s">
        <v>220</v>
      </c>
      <c r="D27" s="12" t="str">
        <f aca="false">IF('2.Estados'!N67&gt;='1.Inputs'!D19-1,"OK","ERROR")</f>
        <v>ERROR</v>
      </c>
      <c r="F27" s="21" t="n">
        <f aca="false">'2.Estados'!N67</f>
        <v>0</v>
      </c>
    </row>
    <row r="28" customFormat="false" ht="15" hidden="false" customHeight="true" outlineLevel="0" collapsed="false">
      <c r="B28" s="10" t="s">
        <v>221</v>
      </c>
      <c r="D28" s="12" t="str">
        <f aca="false">IF(ABS(SUM('3.FCL_WACC'!D24:N24)-SUM('3.FCL_WACC'!D14:N14)-SUM('3.FCL_WACC'!D19:N23))&lt;1,"OK","ERROR")</f>
        <v>OK</v>
      </c>
      <c r="F28" s="21" t="n">
        <f aca="false">SUM('3.FCL_WACC'!D24:N24)-SUM('3.FCL_WACC'!D14:N14)</f>
        <v>0</v>
      </c>
    </row>
    <row r="29" customFormat="false" ht="15" hidden="false" customHeight="true" outlineLevel="0" collapsed="false">
      <c r="B29" s="10" t="s">
        <v>222</v>
      </c>
      <c r="D29" s="12" t="str">
        <f aca="false">IFERROR(IF(ABS('4.Outputs'!D7-('3.FCL_WACC'!D14+NPV('3.FCL_WACC'!D36,'3.FCL_WACC'!E14:N14)))&lt;1,"OK","ERROR"),"PENDIENTE")</f>
        <v>OK</v>
      </c>
      <c r="F29" s="21" t="n">
        <f aca="false">'4.Outputs'!D7</f>
        <v>0</v>
      </c>
    </row>
    <row r="30" customFormat="false" ht="15" hidden="false" customHeight="true" outlineLevel="0" collapsed="false">
      <c r="B30" s="10" t="s">
        <v>223</v>
      </c>
      <c r="D30" s="12" t="str">
        <f aca="false">IFERROR(IF(ABS('4.Outputs'!D8-IRR('3.FCL_WACC'!D14:N14))&lt;0.0001,"OK","ERROR"),"PENDIENTE")</f>
        <v>PENDIENTE</v>
      </c>
      <c r="F30" s="21" t="n">
        <f aca="false">'4.Outputs'!D8</f>
        <v>0</v>
      </c>
    </row>
    <row r="31" customFormat="false" ht="15" hidden="false" customHeight="true" outlineLevel="0" collapsed="false">
      <c r="B31" s="10" t="s">
        <v>224</v>
      </c>
      <c r="D31" s="10" t="str">
        <f aca="false">IF(SUMPRODUCT(('3.FCL_WACC'!D14:N14-('3.FCL_WACC'!D8:N8+'3.FCL_WACC'!D9:N9+'3.FCL_WACC'!D10:N10+'3.FCL_WACC'!D11:N11+'3.FCL_WACC'!D12:N12+'3.FCL_WACC'!D13:N13))*('3.FCL_WACC'!D14:N14-('3.FCL_WACC'!D8:N8+'3.FCL_WACC'!D9:N9+'3.FCL_WACC'!D10:N10+'3.FCL_WACC'!D11:N11+'3.FCL_WACC'!D12:N12+'3.FCL_WACC'!D13:N13)))&lt;1,"OK","ERROR")</f>
        <v>OK</v>
      </c>
      <c r="F31" s="10" t="n">
        <f aca="false">SUM('3.FCL_WACC'!D14:N14)</f>
        <v>0</v>
      </c>
    </row>
    <row r="32" customFormat="false" ht="15" hidden="false" customHeight="true" outlineLevel="0" collapsed="false">
      <c r="B32" s="10" t="s">
        <v>225</v>
      </c>
      <c r="D32" s="12" t="str">
        <f aca="false">IF(SUMPRODUCT(('2.Estados'!E25:N25&gt;0)*('2.Estados'!E24:N24&gt;0)*('2.Estados'!E26:N26=0))=0,"OK","ERROR")</f>
        <v>OK</v>
      </c>
      <c r="F32" s="10" t="n">
        <f aca="false">SUM('2.Estados'!E26:N26)</f>
        <v>0</v>
      </c>
    </row>
    <row r="34" customFormat="false" ht="15" hidden="false" customHeight="true" outlineLevel="0" collapsed="false">
      <c r="B34" s="4" t="s">
        <v>226</v>
      </c>
      <c r="D34" s="38" t="str">
        <f aca="false">IF(COUNTIF(D5:D32,"ERROR")&gt;0,"MODELO CON ERRORES",IF(COUNTIF(D5:D32,"ALERTA")&gt;0,"MODELO VÁLIDO CON ALERTAS","MODELO VÁLIDO"))</f>
        <v>MODELO CON ERRORES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2026-07-07T17:17:52Z</dcterms:created>
  <dc:creator>openpyxl</dc:creator>
  <dc:description/>
  <dc:language>en-US</dc:language>
  <cp:lastModifiedBy/>
  <dcterms:modified xsi:type="dcterms:W3CDTF">2026-07-07T20:07:45Z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