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2.xml.rels" ContentType="application/vnd.openxmlformats-package.relationships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comments2.xml" ContentType="application/vnd.openxmlformats-officedocument.spreadsheetml.comments+xml"/>
  <Override PartName="/xl/drawings/vmlDrawing1.vml" ContentType="application/vnd.openxmlformats-officedocument.vmlDrawi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.Portada" sheetId="1" state="visible" r:id="rId3"/>
    <sheet name="1.Inputs" sheetId="2" state="visible" r:id="rId4"/>
    <sheet name="2.Estados" sheetId="3" state="visible" r:id="rId5"/>
    <sheet name="3.FCL_WACC" sheetId="4" state="visible" r:id="rId6"/>
    <sheet name="4.Outputs" sheetId="5" state="visible" r:id="rId7"/>
    <sheet name="5.Checks" sheetId="6" state="visible" r:id="rId8"/>
    <sheet name="6.Sensibilidades" sheetId="7" state="visible" r:id="rId9"/>
    <sheet name="7.Auditoría" sheetId="8" state="visible" r:id="rId1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14" authorId="0">
      <text>
        <r>
          <rPr>
            <sz val="10"/>
            <rFont val="Arial"/>
            <family val="2"/>
          </rPr>
          <t xml:space="preserve">Fuente esperada (fila Base F14): lista de precios, contratos marco, sondeo comercial o benchmark de mercado.</t>
        </r>
      </text>
    </comment>
    <comment ref="D15" authorId="0">
      <text>
        <r>
          <rPr>
            <sz val="10"/>
            <rFont val="Arial"/>
            <family val="2"/>
          </rPr>
          <t xml:space="preserve">Fuente esperada (fila Base F15): FNC (precio interno de referencia), contrato C de NY + diferencial, o cotización de cooperativas/trilladoras.</t>
        </r>
      </text>
    </comment>
    <comment ref="D16" authorId="0">
      <text>
        <r>
          <rPr>
            <sz val="10"/>
            <rFont val="Arial"/>
            <family val="2"/>
          </rPr>
          <t xml:space="preserve">Fuente esperada (fila Base F16): meta y proyecciones del Banco de la República / encuestas de expectativas.</t>
        </r>
      </text>
    </comment>
    <comment ref="D19" authorId="0">
      <text>
        <r>
          <rPr>
            <sz val="10"/>
            <rFont val="Arial"/>
            <family val="2"/>
          </rPr>
          <t xml:space="preserve">Fuente esperada: avalúo comercial o benchmark inmobiliario industrial (lonja).</t>
        </r>
      </text>
    </comment>
    <comment ref="D20" authorId="0">
      <text>
        <r>
          <rPr>
            <sz val="10"/>
            <rFont val="Arial"/>
            <family val="2"/>
          </rPr>
          <t xml:space="preserve">Fuente esperada: presupuesto de obra, APU o $/m² de construcción industrial (Camacol).</t>
        </r>
      </text>
    </comment>
    <comment ref="D21" authorId="0">
      <text>
        <r>
          <rPr>
            <sz val="10"/>
            <rFont val="Arial"/>
            <family val="2"/>
          </rPr>
          <t xml:space="preserve">Fuente esperada: cotización formal del fabricante, en moneda de origen.</t>
        </r>
      </text>
    </comment>
    <comment ref="D22" authorId="0">
      <text>
        <r>
          <rPr>
            <sz val="10"/>
            <rFont val="Arial"/>
            <family val="2"/>
          </rPr>
          <t xml:space="preserve">Fuente esperada: TRM de referencia usada para la cotización/importación.</t>
        </r>
      </text>
    </comment>
    <comment ref="D32" authorId="0">
      <text>
        <r>
          <rPr>
            <sz val="10"/>
            <rFont val="Arial"/>
            <family val="2"/>
          </rPr>
          <t xml:space="preserve">Fuente esperada: term sheet bancario o cotización de crédito (IBR + spread).</t>
        </r>
      </text>
    </comment>
    <comment ref="D37" authorId="0">
      <text>
        <r>
          <rPr>
            <sz val="10"/>
            <rFont val="Arial"/>
            <family val="2"/>
          </rPr>
          <t xml:space="preserve">Fuente esperada: ficha técnica del proveedor de la tostadora.</t>
        </r>
      </text>
    </comment>
    <comment ref="D38" authorId="0">
      <text>
        <r>
          <rPr>
            <sz val="10"/>
            <rFont val="Arial"/>
            <family val="2"/>
          </rPr>
          <t xml:space="preserve">Fuente esperada: plan comercial y benchmarks de arranque del sector.</t>
        </r>
      </text>
    </comment>
    <comment ref="D42" authorId="0">
      <text>
        <r>
          <rPr>
            <sz val="10"/>
            <rFont val="Arial"/>
            <family val="2"/>
          </rPr>
          <t xml:space="preserve">Fuente esperada: ficha técnica del proceso o prueba de tostión (15–20% típico).</t>
        </r>
      </text>
    </comment>
    <comment ref="D44" authorId="0">
      <text>
        <r>
          <rPr>
            <sz val="10"/>
            <rFont val="Arial"/>
            <family val="2"/>
          </rPr>
          <t xml:space="preserve">Fuente esperada: presupuesto operativo detallado de nómina, arriendo, mantenimiento, seguros, vigilancia, administración y servicios de planta.</t>
        </r>
      </text>
    </comment>
    <comment ref="D47" authorId="0">
      <text>
        <r>
          <rPr>
            <sz val="10"/>
            <rFont val="Arial"/>
            <family val="2"/>
          </rPr>
          <t xml:space="preserve">Fuente esperada: condiciones comerciales negociadas con clientes (manual de proveedores de las cadenas).</t>
        </r>
      </text>
    </comment>
    <comment ref="D48" authorId="0">
      <text>
        <r>
          <rPr>
            <sz val="10"/>
            <rFont val="Arial"/>
            <family val="2"/>
          </rPr>
          <t xml:space="preserve">Fuente esperada: política de compras, rotación esperada y estacionalidad de cosecha del café.</t>
        </r>
      </text>
    </comment>
    <comment ref="D49" authorId="0">
      <text>
        <r>
          <rPr>
            <sz val="10"/>
            <rFont val="Arial"/>
            <family val="2"/>
          </rPr>
          <t xml:space="preserve">Fuente esperada: condiciones negociadas con cooperativas/trilladoras.</t>
        </r>
      </text>
    </comment>
    <comment ref="D53" authorId="0">
      <text>
        <r>
          <rPr>
            <sz val="10"/>
            <rFont val="Arial"/>
            <family val="2"/>
          </rPr>
          <t xml:space="preserve">Fuente esperada: norma tributaria vigente (Estatuto Tributario) o supuesto fiscal documentado.</t>
        </r>
      </text>
    </comment>
    <comment ref="D54" authorId="0">
      <text>
        <r>
          <rPr>
            <sz val="10"/>
            <rFont val="Arial"/>
            <family val="2"/>
          </rPr>
          <t xml:space="preserve">Fuente esperada: CAPM ajustado Colombia (Rf + beta×PRM + EMBI) o tasa de oportunidad declarada del inversionista.</t>
        </r>
      </text>
    </comment>
    <comment ref="D57" authorId="0">
      <text>
        <r>
          <rPr>
            <sz val="10"/>
            <rFont val="Arial"/>
            <family val="2"/>
          </rPr>
          <t xml:space="preserve">Fuente esperada: term sheet bancario o política de riesgo crediticio.</t>
        </r>
      </text>
    </comment>
  </commentList>
</comments>
</file>

<file path=xl/sharedStrings.xml><?xml version="1.0" encoding="utf-8"?>
<sst xmlns="http://schemas.openxmlformats.org/spreadsheetml/2006/main" count="745" uniqueCount="478">
  <si>
    <t xml:space="preserve">TOSTADORA DEL ALTO S.A.S. — Modelo Integrado de Evaluación Financiera de Proyectos (Estándar FAST)</t>
  </si>
  <si>
    <t xml:space="preserve">Estructura</t>
  </si>
  <si>
    <t xml:space="preserve">P&amp;G → Flujo de Caja (método indirecto) → Balance General → Flujo de Caja Libre → WACC y valoración.</t>
  </si>
  <si>
    <t xml:space="preserve">Partida doble</t>
  </si>
  <si>
    <t xml:space="preserve">La utilidad neta fluye a utilidades retenidas; el saldo de caja del flujo alimenta el Balance; la fila CONTROL verifica Activo = Pasivo + Patrimonio en todos los años. El Balance cuadra por construcción, nunca por plug.</t>
  </si>
  <si>
    <t xml:space="preserve">Estándar FAST</t>
  </si>
  <si>
    <t xml:space="preserve">Inputs en azul solo en 1.Inputs (única fuente de verdad). Fórmulas en negro. Vínculos entre hojas en verde. Hoja 5.Checks vigila la integridad; si un check falla, el modelo no es presentable.</t>
  </si>
  <si>
    <t xml:space="preserve">Horizonte</t>
  </si>
  <si>
    <t xml:space="preserve">Año 0 (2027): construcción y cierre financiero. Años 1–10: operación. COP nominales, anual.</t>
  </si>
  <si>
    <t xml:space="preserve">Escenarios</t>
  </si>
  <si>
    <t xml:space="preserve">Selector 1.Inputs!D6 — 1 Base, 2 Optimista, 3 Pesimista.</t>
  </si>
  <si>
    <t xml:space="preserve">Valor residual</t>
  </si>
  <si>
    <t xml:space="preserve">Se reconoce únicamente en el FCL (hoja 3) como valor de liquidación analítico al cierre del año 10: valor en libros de depreciables, recuperación del lote y del KTN. Los estados financieros (hoja 2) NO contabilizan la venta: son estados de empresa en marcha.</t>
  </si>
  <si>
    <t xml:space="preserve">Política fiscal</t>
  </si>
  <si>
    <t xml:space="preserve">El impuesto se causa sobre la base gravable tras compensar pérdidas fiscales de años anteriores (NOL, sin límite temporal en esta versión didáctica) y se paga al año siguiente.</t>
  </si>
  <si>
    <t xml:space="preserve">Política de dividendos</t>
  </si>
  <si>
    <t xml:space="preserve">Payout sobre utilidad neta positiva, limitado a la caja disponible al cierre del año anterior; se pagan el año siguiente al decreto.</t>
  </si>
  <si>
    <t xml:space="preserve">Curso</t>
  </si>
  <si>
    <t xml:space="preserve">EFC60 Modelaje Financiero — CESA. Prof. Jhon Jiménez.</t>
  </si>
  <si>
    <t xml:space="preserve">1. INPUTS — Única fuente de verdad</t>
  </si>
  <si>
    <t xml:space="preserve">SELECTOR DE ESCENARIO</t>
  </si>
  <si>
    <t xml:space="preserve">Escenario activo (1=Base, 2=Optimista, 3=Pesimista)</t>
  </si>
  <si>
    <t xml:space="preserve">HORIZONTE</t>
  </si>
  <si>
    <t xml:space="preserve">Año inicial (construcción)</t>
  </si>
  <si>
    <t xml:space="preserve">Años de operación</t>
  </si>
  <si>
    <t xml:space="preserve">DRIVERS POR ESCENARIO</t>
  </si>
  <si>
    <t xml:space="preserve">ACTIVO</t>
  </si>
  <si>
    <t xml:space="preserve">Base</t>
  </si>
  <si>
    <t xml:space="preserve">Optimista</t>
  </si>
  <si>
    <t xml:space="preserve">Pesimista</t>
  </si>
  <si>
    <t xml:space="preserve">Utilización plena (desde año 3)</t>
  </si>
  <si>
    <t xml:space="preserve">Precio venta canal cadenas (año 1)</t>
  </si>
  <si>
    <t xml:space="preserve">Costo café verde (año 1)</t>
  </si>
  <si>
    <t xml:space="preserve">Inflación anual (IPC)</t>
  </si>
  <si>
    <t xml:space="preserve">INVERSIÓN (Año 0)</t>
  </si>
  <si>
    <t xml:space="preserve">Lote (no depreciable)</t>
  </si>
  <si>
    <t xml:space="preserve">COP</t>
  </si>
  <si>
    <t xml:space="preserve">Obra civil</t>
  </si>
  <si>
    <t xml:space="preserve">Maquinaria importada</t>
  </si>
  <si>
    <t xml:space="preserve">USD</t>
  </si>
  <si>
    <t xml:space="preserve">TRM de importación</t>
  </si>
  <si>
    <t xml:space="preserve">COP/USD</t>
  </si>
  <si>
    <t xml:space="preserve">Maquinaria en COP</t>
  </si>
  <si>
    <t xml:space="preserve">CAPEX total</t>
  </si>
  <si>
    <t xml:space="preserve">DEPRECIACIÓN</t>
  </si>
  <si>
    <t xml:space="preserve">Vida útil obra civil</t>
  </si>
  <si>
    <t xml:space="preserve">años</t>
  </si>
  <si>
    <t xml:space="preserve">Vida útil maquinaria</t>
  </si>
  <si>
    <t xml:space="preserve">FINANCIACIÓN</t>
  </si>
  <si>
    <t xml:space="preserve">Deuda / CAPEX</t>
  </si>
  <si>
    <t xml:space="preserve">Tasa interés deuda (EA)</t>
  </si>
  <si>
    <t xml:space="preserve">Plazo deuda</t>
  </si>
  <si>
    <t xml:space="preserve">Gracia a capital</t>
  </si>
  <si>
    <t xml:space="preserve">Aporte de equity adicional para KT y arranque (año 0)</t>
  </si>
  <si>
    <t xml:space="preserve">OPERACIÓN</t>
  </si>
  <si>
    <t xml:space="preserve">Capacidad de tostión</t>
  </si>
  <si>
    <t xml:space="preserve">kg/mes</t>
  </si>
  <si>
    <t xml:space="preserve">Utilización año 1</t>
  </si>
  <si>
    <t xml:space="preserve">Utilización año 2</t>
  </si>
  <si>
    <t xml:space="preserve">Mezcla canal cadenas</t>
  </si>
  <si>
    <t xml:space="preserve">Prima precio venta directa</t>
  </si>
  <si>
    <t xml:space="preserve">Merma de tostión</t>
  </si>
  <si>
    <t xml:space="preserve">Energía y empaque (año 1)</t>
  </si>
  <si>
    <t xml:space="preserve">COP/kg</t>
  </si>
  <si>
    <t xml:space="preserve">Costos fijos (año 1)</t>
  </si>
  <si>
    <t xml:space="preserve">CAPITAL DE TRABAJO Y POLÍTICAS</t>
  </si>
  <si>
    <t xml:space="preserve">Días de cartera</t>
  </si>
  <si>
    <t xml:space="preserve">Días de inventario (sobre costo MP)</t>
  </si>
  <si>
    <t xml:space="preserve">Días de proveedores (sobre costo MP)</t>
  </si>
  <si>
    <t xml:space="preserve">Payout de dividendos (sobre UN positiva, pagado año sgte.)</t>
  </si>
  <si>
    <t xml:space="preserve">Base de días (año comercial)</t>
  </si>
  <si>
    <t xml:space="preserve">IMPUESTOS, DESCUENTO Y COVENANTS</t>
  </si>
  <si>
    <t xml:space="preserve">Tarifa de renta (causada; pagada año siguiente)</t>
  </si>
  <si>
    <t xml:space="preserve">Costo del equity (Ke)</t>
  </si>
  <si>
    <t xml:space="preserve">WACC (estructura objetivo del activo operativo: D/CAPEX)</t>
  </si>
  <si>
    <t xml:space="preserve">Nota</t>
  </si>
  <si>
    <t xml:space="preserve">El WACC pondera sobre el CAPEX (60/40): descuenta el FCL del activo operativo sin deuda. El aporte de equity para KT/rampa es colchón temporal de liquidez: NO altera la estructura objetivo; se refleja íntegro en el flujo del accionista (descontado al Ke).</t>
  </si>
  <si>
    <t xml:space="preserve">Covenant DSCR mínimo (term sheet bancario)</t>
  </si>
  <si>
    <t xml:space="preserve">VALOR RESIDUAL (fin año 10, solo en FCL)</t>
  </si>
  <si>
    <t xml:space="preserve">Lote: % recuperación</t>
  </si>
  <si>
    <t xml:space="preserve">Depreciables: % sobre valor en libros</t>
  </si>
  <si>
    <t xml:space="preserve">2. ESTADOS FINANCIEROS — P&amp;G → Flujo de Caja → Balance (partida doble)</t>
  </si>
  <si>
    <t xml:space="preserve">Año calendario</t>
  </si>
  <si>
    <t xml:space="preserve">Periodo</t>
  </si>
  <si>
    <t xml:space="preserve">Índice de inflación (año 1 = 1,00)</t>
  </si>
  <si>
    <t xml:space="preserve">MOTOR OPERATIVO</t>
  </si>
  <si>
    <t xml:space="preserve">Utilización</t>
  </si>
  <si>
    <t xml:space="preserve">Kg tostados</t>
  </si>
  <si>
    <t xml:space="preserve">kg</t>
  </si>
  <si>
    <t xml:space="preserve">Kg café verde</t>
  </si>
  <si>
    <t xml:space="preserve">Precio blended</t>
  </si>
  <si>
    <t xml:space="preserve">ESTADO DE RESULTADOS (P&amp;G)</t>
  </si>
  <si>
    <t xml:space="preserve">Ventas</t>
  </si>
  <si>
    <t xml:space="preserve">Costo materia prima (café verde)</t>
  </si>
  <si>
    <t xml:space="preserve">Energía y empaque</t>
  </si>
  <si>
    <t xml:space="preserve">Costos fijos</t>
  </si>
  <si>
    <t xml:space="preserve">EBITDA</t>
  </si>
  <si>
    <t xml:space="preserve">Depreciación obra civil</t>
  </si>
  <si>
    <t xml:space="preserve">Depreciación maquinaria</t>
  </si>
  <si>
    <t xml:space="preserve">Utilidad operacional (EBIT)</t>
  </si>
  <si>
    <t xml:space="preserve">Gastos financieros (= intereses de la cascada de deuda)</t>
  </si>
  <si>
    <t xml:space="preserve">Utilidad gravable</t>
  </si>
  <si>
    <t xml:space="preserve">Pérdida fiscal por compensar (saldo inicial)</t>
  </si>
  <si>
    <t xml:space="preserve">Compensación de pérdidas (NOL usado)</t>
  </si>
  <si>
    <t xml:space="preserve">Pérdida fiscal por compensar (saldo final)</t>
  </si>
  <si>
    <t xml:space="preserve">Impuesto de renta (causado, tras NOL)</t>
  </si>
  <si>
    <t xml:space="preserve">UTILIDAD NETA</t>
  </si>
  <si>
    <t xml:space="preserve">Dividendos decretados (payout sobre UN+, limitado a caja del año anterior)</t>
  </si>
  <si>
    <t xml:space="preserve">CUENTAS DE CAPITAL DE TRABAJO (saldos)</t>
  </si>
  <si>
    <t xml:space="preserve">Cartera</t>
  </si>
  <si>
    <t xml:space="preserve">Inventario</t>
  </si>
  <si>
    <t xml:space="preserve">Proveedores</t>
  </si>
  <si>
    <t xml:space="preserve">Impuestos por pagar (saldo = causado del año)</t>
  </si>
  <si>
    <t xml:space="preserve">Dividendos por pagar</t>
  </si>
  <si>
    <t xml:space="preserve">KTN (memo: cartera + inventario − proveedores)</t>
  </si>
  <si>
    <t xml:space="preserve">FLUJO DE CAJA — MÉTODO INDIRECTO</t>
  </si>
  <si>
    <t xml:space="preserve">Utilidad neta</t>
  </si>
  <si>
    <t xml:space="preserve">(+) Depreciación</t>
  </si>
  <si>
    <t xml:space="preserve">(−) Aumento de cartera</t>
  </si>
  <si>
    <t xml:space="preserve">(−) Aumento de inventario</t>
  </si>
  <si>
    <t xml:space="preserve">(+) Aumento de proveedores</t>
  </si>
  <si>
    <t xml:space="preserve">(+) Aumento impuestos por pagar</t>
  </si>
  <si>
    <t xml:space="preserve">(−) Dividendos pagados (decretados año anterior)</t>
  </si>
  <si>
    <t xml:space="preserve">Intereses del periodo (memo)</t>
  </si>
  <si>
    <t xml:space="preserve">(−) CAPEX</t>
  </si>
  <si>
    <t xml:space="preserve">(+) Desembolso de deuda</t>
  </si>
  <si>
    <t xml:space="preserve">(−) Amortización de deuda</t>
  </si>
  <si>
    <t xml:space="preserve">(+) Aporte de capital</t>
  </si>
  <si>
    <t xml:space="preserve">FLUJO DE CAJA DEL PERIODO</t>
  </si>
  <si>
    <t xml:space="preserve">SALDO ACUMULADO DE CAJA</t>
  </si>
  <si>
    <t xml:space="preserve">DEUDA</t>
  </si>
  <si>
    <t xml:space="preserve">Saldo inicial</t>
  </si>
  <si>
    <t xml:space="preserve">Amortización</t>
  </si>
  <si>
    <t xml:space="preserve">Saldo final</t>
  </si>
  <si>
    <t xml:space="preserve">BALANCE GENERAL</t>
  </si>
  <si>
    <t xml:space="preserve">Caja y bancos</t>
  </si>
  <si>
    <t xml:space="preserve">Inventarios</t>
  </si>
  <si>
    <t xml:space="preserve">Activo corriente</t>
  </si>
  <si>
    <t xml:space="preserve">Lote</t>
  </si>
  <si>
    <t xml:space="preserve">Activo fijo depreciable bruto</t>
  </si>
  <si>
    <t xml:space="preserve">Depreciación acumulada</t>
  </si>
  <si>
    <t xml:space="preserve">Activo fijo neto</t>
  </si>
  <si>
    <t xml:space="preserve">TOTAL ACTIVOS</t>
  </si>
  <si>
    <t xml:space="preserve">Impuestos por pagar</t>
  </si>
  <si>
    <t xml:space="preserve">Obligaciones financieras</t>
  </si>
  <si>
    <t xml:space="preserve">TOTAL PASIVOS</t>
  </si>
  <si>
    <t xml:space="preserve">Capital social</t>
  </si>
  <si>
    <t xml:space="preserve">Utilidades retenidas acumuladas</t>
  </si>
  <si>
    <t xml:space="preserve">TOTAL PATRIMONIO</t>
  </si>
  <si>
    <t xml:space="preserve">PASIVO + PATRIMONIO</t>
  </si>
  <si>
    <t xml:space="preserve">CONTROL (Activo − Pasivo − Patrimonio)</t>
  </si>
  <si>
    <t xml:space="preserve">3. FLUJO DE CAJA LIBRE, WACC Y VALORACIÓN</t>
  </si>
  <si>
    <t xml:space="preserve">FCL DEL PROYECTO (desde el P&amp;G — sin deuda)</t>
  </si>
  <si>
    <t xml:space="preserve">EBIT</t>
  </si>
  <si>
    <t xml:space="preserve">(−) Impuesto operativo teórico (EBIT×t)</t>
  </si>
  <si>
    <t xml:space="preserve">(−) Variación KTN operativo</t>
  </si>
  <si>
    <t xml:space="preserve">(+) Valor residual</t>
  </si>
  <si>
    <t xml:space="preserve">FCL PROYECTO</t>
  </si>
  <si>
    <t xml:space="preserve">FCL acumulado descontado (WACC)</t>
  </si>
  <si>
    <t xml:space="preserve">FCL DEL ACCIONISTA</t>
  </si>
  <si>
    <t xml:space="preserve">FCL proyecto</t>
  </si>
  <si>
    <t xml:space="preserve">(+) Desembolso deuda</t>
  </si>
  <si>
    <t xml:space="preserve">(−) Amortización</t>
  </si>
  <si>
    <t xml:space="preserve">(−) Intereses</t>
  </si>
  <si>
    <t xml:space="preserve">(+) Escudo fiscal intereses</t>
  </si>
  <si>
    <t xml:space="preserve">(−) Aporte equity para KT (año 0) / (+) recuperación (año 10)</t>
  </si>
  <si>
    <t xml:space="preserve">FCL ACCIONISTA</t>
  </si>
  <si>
    <t xml:space="preserve">DSCR</t>
  </si>
  <si>
    <t xml:space="preserve">Caja disponible para servicio de deuda</t>
  </si>
  <si>
    <t xml:space="preserve">Servicio de deuda (K+I)</t>
  </si>
  <si>
    <t xml:space="preserve">WACC (construcción)</t>
  </si>
  <si>
    <t xml:space="preserve">Peso deuda</t>
  </si>
  <si>
    <t xml:space="preserve">Costo deuda después de impuestos</t>
  </si>
  <si>
    <t xml:space="preserve">Peso equity</t>
  </si>
  <si>
    <t xml:space="preserve">Ke</t>
  </si>
  <si>
    <t xml:space="preserve">WACC</t>
  </si>
  <si>
    <t xml:space="preserve">4. OUTPUTS — Tablero de decisión</t>
  </si>
  <si>
    <t xml:space="preserve">PROYECTO (WACC)</t>
  </si>
  <si>
    <t xml:space="preserve">VAN del proyecto</t>
  </si>
  <si>
    <t xml:space="preserve">TIR del proyecto</t>
  </si>
  <si>
    <t xml:space="preserve">TIRM (reinversión al WACC)</t>
  </si>
  <si>
    <t xml:space="preserve">Relación B/C</t>
  </si>
  <si>
    <t xml:space="preserve">Payback descontado</t>
  </si>
  <si>
    <t xml:space="preserve">ACCIONISTA (Ke)</t>
  </si>
  <si>
    <t xml:space="preserve">VAN del accionista</t>
  </si>
  <si>
    <t xml:space="preserve">TIR del accionista</t>
  </si>
  <si>
    <t xml:space="preserve">DEUDA Y SALUD FINANCIERA</t>
  </si>
  <si>
    <t xml:space="preserve">DSCR mínimo (todo el servicio de deuda)</t>
  </si>
  <si>
    <t xml:space="preserve">Caja mínima del Balance</t>
  </si>
  <si>
    <t xml:space="preserve">Utilidad neta año 1</t>
  </si>
  <si>
    <t xml:space="preserve">DSCR mínimo post-rampa (año 3+)</t>
  </si>
  <si>
    <t xml:space="preserve">DECISIÓN</t>
  </si>
  <si>
    <t xml:space="preserve">Regla VAN</t>
  </si>
  <si>
    <t xml:space="preserve">Apalancamiento</t>
  </si>
  <si>
    <t xml:space="preserve">Covenant DSCR (1.Inputs!D57)</t>
  </si>
  <si>
    <t xml:space="preserve">TABLERO EJECUTIVO</t>
  </si>
  <si>
    <t xml:space="preserve">Spread TIR proyecto − WACC</t>
  </si>
  <si>
    <t xml:space="preserve">Spread TIR accionista − Ke</t>
  </si>
  <si>
    <t xml:space="preserve">Holgura del covenant (DSCR post-rampa − covenant)</t>
  </si>
  <si>
    <t xml:space="preserve">RECOMENDACIÓN AUTOMÁTICA</t>
  </si>
  <si>
    <t xml:space="preserve">Semáforo</t>
  </si>
  <si>
    <t xml:space="preserve">RIESGOS PRINCIPALES Y DISPARADORES DE RENEGOCIACIÓN (ver 6.Sensibilidades)</t>
  </si>
  <si>
    <t xml:space="preserve">Riesgos, en orden de sensibilidad</t>
  </si>
  <si>
    <t xml:space="preserve">1) Precio del café verde (−$191M de VAN por +1%)  2) Días de cartera (−$117M por +10 días)  3) Ke (−$101M por +100 pb)  4) Utilización (−$67M por −1 p.p.)  5) TRM (−$20M por +$100)</t>
  </si>
  <si>
    <t xml:space="preserve">Disparadores de renegociación</t>
  </si>
  <si>
    <t xml:space="preserve">Café verde sostenido &gt; $21.000/kg · Utilización de régimen &lt; 78% · Cartera efectiva &gt; 75 días — cualquiera vuelve negativa la posición del accionista (evidencia en 6.Sensibilidades).</t>
  </si>
  <si>
    <t xml:space="preserve">5. CHECKS — Integridad y partida doble</t>
  </si>
  <si>
    <t xml:space="preserve">Prueba</t>
  </si>
  <si>
    <t xml:space="preserve">Estado</t>
  </si>
  <si>
    <t xml:space="preserve">Detalle</t>
  </si>
  <si>
    <t xml:space="preserve">BALANCE CUADRA todos los años (Control = 0)</t>
  </si>
  <si>
    <t xml:space="preserve">Caja del Balance nunca negativa</t>
  </si>
  <si>
    <t xml:space="preserve">Deuda amortiza a cero</t>
  </si>
  <si>
    <t xml:space="preserve">Fuentes año 0 = CAPEX + Aporte KT</t>
  </si>
  <si>
    <t xml:space="preserve">Caja año 0 = Aporte para KT</t>
  </si>
  <si>
    <t xml:space="preserve">Kg verde &gt; kg tostado (merma)</t>
  </si>
  <si>
    <t xml:space="preserve">Dep. acumulada año 10 = exacta (maq. completa + obra 10/vida)</t>
  </si>
  <si>
    <t xml:space="preserve">FCL proyecto año 0 = −CAPEX</t>
  </si>
  <si>
    <t xml:space="preserve">FCL accionista año 0 = −Aporte</t>
  </si>
  <si>
    <t xml:space="preserve">WACC Inputs = WACC construido</t>
  </si>
  <si>
    <t xml:space="preserve">DSCR post-rampa &gt; covenant (1.Inputs!D57)</t>
  </si>
  <si>
    <t xml:space="preserve">DSCR en rampa (años 1-2): déficit cubierto por caja</t>
  </si>
  <si>
    <t xml:space="preserve">Selector de escenario válido</t>
  </si>
  <si>
    <t xml:space="preserve">Gracia &lt; Plazo (estructura amortizable)</t>
  </si>
  <si>
    <t xml:space="preserve">NOL nunca negativo</t>
  </si>
  <si>
    <t xml:space="preserve">Compensación NOL ≤ pérdidas acumuladas</t>
  </si>
  <si>
    <t xml:space="preserve">Dividendos decretados ≤ caja año anterior</t>
  </si>
  <si>
    <t xml:space="preserve">Utilización ≤ 100% todos los años</t>
  </si>
  <si>
    <t xml:space="preserve">Gastos financieros P&amp;G = intereses de la cascada</t>
  </si>
  <si>
    <t xml:space="preserve">KTN = cartera + inventario − proveedores</t>
  </si>
  <si>
    <t xml:space="preserve">Σ(−ΔKTN) del FCL = −KTN final (sin doble conteo)</t>
  </si>
  <si>
    <t xml:space="preserve">Valor residual = VL depreciables + lote + KTN (sin duplicar lote)</t>
  </si>
  <si>
    <t xml:space="preserve">Lote no se deprecia (AF neto año 10 ≥ lote)</t>
  </si>
  <si>
    <t xml:space="preserve">FCA − FCL = solo flujos de financiación</t>
  </si>
  <si>
    <t xml:space="preserve">VAN de Outputs = VAN recalculado desde 3.FCL (tol. $1)</t>
  </si>
  <si>
    <t xml:space="preserve">TIR de Outputs = TIR recalculada desde 3.FCL (tol. 0,0001)</t>
  </si>
  <si>
    <t xml:space="preserve">FCL = suma exacta de sus componentes (filas 8–13)</t>
  </si>
  <si>
    <t xml:space="preserve">NOL se compensa cuando hay saldo y base positiva</t>
  </si>
  <si>
    <t xml:space="preserve">ESTADO GLOBAL DEL MODELO</t>
  </si>
  <si>
    <t xml:space="preserve">6. SENSIBILIDADES — Escenarios corridos sobre este modelo (bitácora reproducible)</t>
  </si>
  <si>
    <t xml:space="preserve">Cada caso se reproduce fijando la(s) celda(s) indicadas en el valor aplicado, recalculando y comparando; al terminar, restaurar los valores base. Cifras en COP millones. Nota del combinado: el café se lleva a $21.000/kg, que equivale a +10,53% desde la base de $19.000 (no a +10% exacto).</t>
  </si>
  <si>
    <t xml:space="preserve">Caso</t>
  </si>
  <si>
    <t xml:space="preserve">Celda(s) / valor aplicado</t>
  </si>
  <si>
    <t xml:space="preserve">VAN proyecto</t>
  </si>
  <si>
    <t xml:space="preserve">Δ vs base (proy.)</t>
  </si>
  <si>
    <t xml:space="preserve">VAN accionista</t>
  </si>
  <si>
    <t xml:space="preserve">Δ vs base (acc.)</t>
  </si>
  <si>
    <t xml:space="preserve">Caja mínima</t>
  </si>
  <si>
    <t xml:space="preserve">DSCR post-rampa</t>
  </si>
  <si>
    <t xml:space="preserve">Conclusión ejecutiva</t>
  </si>
  <si>
    <t xml:space="preserve">1. Base</t>
  </si>
  <si>
    <t xml:space="preserve">—</t>
  </si>
  <si>
    <t xml:space="preserve">Proyecto crea valor; accionista con holgura limitada. Aceptar con monitoreo.</t>
  </si>
  <si>
    <t xml:space="preserve">2. Optimista</t>
  </si>
  <si>
    <t xml:space="preserve">D6 = 2</t>
  </si>
  <si>
    <t xml:space="preserve">Holgura amplia en todas las métricas. Aceptar.</t>
  </si>
  <si>
    <t xml:space="preserve">3. Pesimista</t>
  </si>
  <si>
    <t xml:space="preserve">D6 = 3</t>
  </si>
  <si>
    <t xml:space="preserve">Destruye valor en ambas ópticas. Rechazar.</t>
  </si>
  <si>
    <t xml:space="preserve">4. TRM alta</t>
  </si>
  <si>
    <t xml:space="preserve">D22 = 6.000</t>
  </si>
  <si>
    <t xml:space="preserve">Proyecto resiste (escudo de depreciación); accionista pasa a terreno negativo. Renegociar estructura.</t>
  </si>
  <si>
    <t xml:space="preserve">5. Café verde caro</t>
  </si>
  <si>
    <t xml:space="preserve">F15 = $22.000</t>
  </si>
  <si>
    <t xml:space="preserve">+16% del grano destruye todo el valor. Variable crítica #1: contratar/cubrir el suministro.</t>
  </si>
  <si>
    <t xml:space="preserve">6. Utilización baja</t>
  </si>
  <si>
    <t xml:space="preserve">F13 = 70%</t>
  </si>
  <si>
    <t xml:space="preserve">Proyecto marginal; accionista destruye valor. Disciplina comercial es condición de viabilidad.</t>
  </si>
  <si>
    <t xml:space="preserve">7. Cartera larga</t>
  </si>
  <si>
    <t xml:space="preserve">D47 = 90</t>
  </si>
  <si>
    <t xml:space="preserve">+30 días vuelven negativo al accionista. El poder de negociación de las cadenas es riesgo financiero.</t>
  </si>
  <si>
    <t xml:space="preserve">8. Fijos mayores</t>
  </si>
  <si>
    <t xml:space="preserve">D44 = $1.200M</t>
  </si>
  <si>
    <t xml:space="preserve">+33% de fijos casi agota el VAN del proyecto y hunde al accionista. Vigilar estructura de nómina.</t>
  </si>
  <si>
    <t xml:space="preserve">9. Ke más alto</t>
  </si>
  <si>
    <t xml:space="preserve">D54 = 22%</t>
  </si>
  <si>
    <t xml:space="preserve">Proyecto intacto; accionista destruye valor solo por repricing. Caso de renegociación pura de estructura.</t>
  </si>
  <si>
    <t xml:space="preserve">10. Combinado adverso</t>
  </si>
  <si>
    <t xml:space="preserve">F15=$21.000 (+10,53%) / F13=75% / D47=90</t>
  </si>
  <si>
    <t xml:space="preserve">Tres choques moderados simultáneos: no-linealidad. Motiva el análisis probabilístico.</t>
  </si>
  <si>
    <t xml:space="preserve">SENSIBILIDAD PURA POR UNIDAD DE SHOCK (corridas independientes desde el Base)</t>
  </si>
  <si>
    <t xml:space="preserve">Shock unitario</t>
  </si>
  <si>
    <t xml:space="preserve">Δ VAN proyecto (M)</t>
  </si>
  <si>
    <t xml:space="preserve">Δ VAN accionista (M)</t>
  </si>
  <si>
    <t xml:space="preserve">+1% costo café verde</t>
  </si>
  <si>
    <t xml:space="preserve">−1 p.p. utilización</t>
  </si>
  <si>
    <t xml:space="preserve">+10 días de cartera</t>
  </si>
  <si>
    <t xml:space="preserve">+100 pb en Ke</t>
  </si>
  <si>
    <t xml:space="preserve">+$100 TRM</t>
  </si>
  <si>
    <t xml:space="preserve">7. AUDITORÍA — Documentación de los 28 checks y de la suite de errores plantados</t>
  </si>
  <si>
    <t xml:space="preserve">N°</t>
  </si>
  <si>
    <t xml:space="preserve">Check</t>
  </si>
  <si>
    <t xml:space="preserve">Hoja</t>
  </si>
  <si>
    <t xml:space="preserve">Celda</t>
  </si>
  <si>
    <t xml:space="preserve">Qué verifica</t>
  </si>
  <si>
    <t xml:space="preserve">Tolerancia</t>
  </si>
  <si>
    <t xml:space="preserve">Por qué importa / tipo de error que captura</t>
  </si>
  <si>
    <t xml:space="preserve">Capa de defensa</t>
  </si>
  <si>
    <t xml:space="preserve">Acción si falla</t>
  </si>
  <si>
    <t xml:space="preserve">5.Checks</t>
  </si>
  <si>
    <t xml:space="preserve">D5</t>
  </si>
  <si>
    <t xml:space="preserve">Identidad A=P+PT en los 11 años</t>
  </si>
  <si>
    <t xml:space="preserve">$1</t>
  </si>
  <si>
    <t xml:space="preserve">Transacciones de una pierna; flujos olvidados</t>
  </si>
  <si>
    <t xml:space="preserve">OK</t>
  </si>
  <si>
    <t xml:space="preserve">Leer la firma del descuadre (constante vs creciente) y rastrear el año de origen</t>
  </si>
  <si>
    <t xml:space="preserve">D6</t>
  </si>
  <si>
    <t xml:space="preserve">Que la caja acumulada nunca sea negativa</t>
  </si>
  <si>
    <t xml:space="preserve">$0</t>
  </si>
  <si>
    <t xml:space="preserve">Cierre financiero incompleto o choque de liquidez</t>
  </si>
  <si>
    <t xml:space="preserve">Semántico</t>
  </si>
  <si>
    <t xml:space="preserve">Revisar aporte de KT, rampa y política de dividendos</t>
  </si>
  <si>
    <t xml:space="preserve">D7</t>
  </si>
  <si>
    <t xml:space="preserve">Saldo final de deuda = 0 al vencimiento</t>
  </si>
  <si>
    <t xml:space="preserve">Cascada mal cableada o estructura no amortizable</t>
  </si>
  <si>
    <t xml:space="preserve">Revisar fórmula de amortización y parámetros plazo/gracia</t>
  </si>
  <si>
    <t xml:space="preserve">D8</t>
  </si>
  <si>
    <t xml:space="preserve">Deuda + equity = CAPEX + aporte KT</t>
  </si>
  <si>
    <t xml:space="preserve">Cierre financiero descuadrado</t>
  </si>
  <si>
    <t xml:space="preserve">Revisar montos de desembolso y aportes</t>
  </si>
  <si>
    <t xml:space="preserve">D9</t>
  </si>
  <si>
    <t xml:space="preserve">Caja inicial = aporte para KT</t>
  </si>
  <si>
    <t xml:space="preserve">Usos sin fuente en el año 0</t>
  </si>
  <si>
    <t xml:space="preserve">Revisar flujo del año 0</t>
  </si>
  <si>
    <t xml:space="preserve">D10</t>
  </si>
  <si>
    <t xml:space="preserve">Kg comprados &gt; kg vendidos (merma)</t>
  </si>
  <si>
    <t xml:space="preserve">&gt;0</t>
  </si>
  <si>
    <t xml:space="preserve">Costeo sobre la base equivocada</t>
  </si>
  <si>
    <t xml:space="preserve">Revisar fórmula de merma</t>
  </si>
  <si>
    <t xml:space="preserve">D11</t>
  </si>
  <si>
    <t xml:space="preserve">Dep. acumulada año 10 = valor teórico exacto</t>
  </si>
  <si>
    <t xml:space="preserve">Depreciación del lote o vidas mal aplicadas</t>
  </si>
  <si>
    <t xml:space="preserve">Revisar filas de depreciación por componente</t>
  </si>
  <si>
    <t xml:space="preserve">D12</t>
  </si>
  <si>
    <t xml:space="preserve">FCL(0) = −CAPEX</t>
  </si>
  <si>
    <t xml:space="preserve">Flujos de financiación filtrados al FCL</t>
  </si>
  <si>
    <t xml:space="preserve">Revisar componentes del FCL año 0</t>
  </si>
  <si>
    <t xml:space="preserve">D13</t>
  </si>
  <si>
    <t xml:space="preserve">FCA(0) = −equity total</t>
  </si>
  <si>
    <t xml:space="preserve">Aportes no reflejados en el flujo del socio</t>
  </si>
  <si>
    <t xml:space="preserve">Revisar aportes en el FCA</t>
  </si>
  <si>
    <t xml:space="preserve">D14</t>
  </si>
  <si>
    <t xml:space="preserve">WACC de Inputs = WACC construido por componentes</t>
  </si>
  <si>
    <t xml:space="preserve">0,0001</t>
  </si>
  <si>
    <t xml:space="preserve">Cambio de una pieza sin actualizar la otra</t>
  </si>
  <si>
    <t xml:space="preserve">Reconstrucción</t>
  </si>
  <si>
    <t xml:space="preserve">Reconciliar Inputs vs hoja 3</t>
  </si>
  <si>
    <t xml:space="preserve">D15</t>
  </si>
  <si>
    <t xml:space="preserve">DSCR post-rampa &gt; covenant (input D57)</t>
  </si>
  <si>
    <t xml:space="preserve">covenant</t>
  </si>
  <si>
    <t xml:space="preserve">Estructura de deuda inviable tras estabilización</t>
  </si>
  <si>
    <t xml:space="preserve">Renegociar plazo/gracia/monto (ALERTA, no error)</t>
  </si>
  <si>
    <t xml:space="preserve">D16</t>
  </si>
  <si>
    <t xml:space="preserve">Déficit de los años 1–2 cubierto por caja</t>
  </si>
  <si>
    <t xml:space="preserve">Gracia sin colchón de liquidez</t>
  </si>
  <si>
    <t xml:space="preserve">Aumentar aporte de KT o extender gracia (ALERTA)</t>
  </si>
  <si>
    <t xml:space="preserve">D17</t>
  </si>
  <si>
    <t xml:space="preserve">Escenario ∈ {1,2,3}</t>
  </si>
  <si>
    <t xml:space="preserve">exacto</t>
  </si>
  <si>
    <t xml:space="preserve">Selector fuera de rango</t>
  </si>
  <si>
    <t xml:space="preserve">Corregir D6</t>
  </si>
  <si>
    <t xml:space="preserve">D18</t>
  </si>
  <si>
    <t xml:space="preserve">Estructura amortizable posible</t>
  </si>
  <si>
    <t xml:space="preserve">Deuda que jamás amortiza en silencio</t>
  </si>
  <si>
    <t xml:space="preserve">Corregir D33/D34</t>
  </si>
  <si>
    <t xml:space="preserve">D19</t>
  </si>
  <si>
    <t xml:space="preserve">Saldo de pérdidas fiscales ≥ 0</t>
  </si>
  <si>
    <t xml:space="preserve">Módulo fiscal inconsistente</t>
  </si>
  <si>
    <t xml:space="preserve">Revisar fórmulas NOL</t>
  </si>
  <si>
    <t xml:space="preserve">D20</t>
  </si>
  <si>
    <t xml:space="preserve">No compensar más que las pérdidas acumuladas</t>
  </si>
  <si>
    <t xml:space="preserve">Compensación fiscal imposible</t>
  </si>
  <si>
    <t xml:space="preserve">Revisar fórmula de compensación</t>
  </si>
  <si>
    <t xml:space="preserve">D21</t>
  </si>
  <si>
    <t xml:space="preserve">Dividendos ≤ caja del año anterior</t>
  </si>
  <si>
    <t xml:space="preserve">Distribuciones sin caja</t>
  </si>
  <si>
    <t xml:space="preserve">Revisar política de dividendos</t>
  </si>
  <si>
    <t xml:space="preserve">D22</t>
  </si>
  <si>
    <t xml:space="preserve">Volúmenes sobre la capacidad física</t>
  </si>
  <si>
    <t xml:space="preserve">Revisar rampa o ampliar CAPEX</t>
  </si>
  <si>
    <t xml:space="preserve">D23</t>
  </si>
  <si>
    <t xml:space="preserve">GF del P&amp;G = intereses de la cascada</t>
  </si>
  <si>
    <t xml:space="preserve">Conexión semántica equivocada (bug histórico)</t>
  </si>
  <si>
    <t xml:space="preserve">Reconectar fila 23 a la fila 47</t>
  </si>
  <si>
    <t xml:space="preserve">D24</t>
  </si>
  <si>
    <t xml:space="preserve">Fila memo KTN = cartera + inventario − proveedores</t>
  </si>
  <si>
    <t xml:space="preserve">Desalineación de saldos de KT</t>
  </si>
  <si>
    <t xml:space="preserve">Reconciliar filas 33–38</t>
  </si>
  <si>
    <t xml:space="preserve">D25</t>
  </si>
  <si>
    <t xml:space="preserve">Suma de variaciones = −KTN final</t>
  </si>
  <si>
    <t xml:space="preserve">Doble conteo caja/KTN/valor residual</t>
  </si>
  <si>
    <t xml:space="preserve">Revisar ΔKTN y recuperación en VR</t>
  </si>
  <si>
    <t xml:space="preserve">D26</t>
  </si>
  <si>
    <t xml:space="preserve">VR = VL depreciables + lote + KTN, sin duplicar</t>
  </si>
  <si>
    <t xml:space="preserve">Lote contado dos veces</t>
  </si>
  <si>
    <t xml:space="preserve">Reconstruir el VR desde las piezas</t>
  </si>
  <si>
    <t xml:space="preserve">D27</t>
  </si>
  <si>
    <t xml:space="preserve">AF neto año 10 ≥ valor del lote</t>
  </si>
  <si>
    <t xml:space="preserve">Depreciación indebida de la tierra</t>
  </si>
  <si>
    <t xml:space="preserve">Separar lote del bloque depreciable</t>
  </si>
  <si>
    <t xml:space="preserve">D28</t>
  </si>
  <si>
    <t xml:space="preserve">Diferencia = solo flujos de financiación</t>
  </si>
  <si>
    <t xml:space="preserve">Contaminación cruzada entre flujos</t>
  </si>
  <si>
    <t xml:space="preserve">Aislar componentes de financiación</t>
  </si>
  <si>
    <t xml:space="preserve">D29</t>
  </si>
  <si>
    <t xml:space="preserve">VAN del tablero = recalculado desde la hoja 3</t>
  </si>
  <si>
    <t xml:space="preserve">Tablero desconectado del motor</t>
  </si>
  <si>
    <t xml:space="preserve">Reconectar Outputs</t>
  </si>
  <si>
    <t xml:space="preserve">D30</t>
  </si>
  <si>
    <t xml:space="preserve">TIR del tablero = recalculada desde la hoja 3</t>
  </si>
  <si>
    <t xml:space="preserve">D31</t>
  </si>
  <si>
    <t xml:space="preserve">FCL = suma exacta de sus 6 componentes</t>
  </si>
  <si>
    <t xml:space="preserve">FCL contaminado internamente consistente</t>
  </si>
  <si>
    <t xml:space="preserve">Reconstruir la fila 14 como suma pura</t>
  </si>
  <si>
    <t xml:space="preserve">D32</t>
  </si>
  <si>
    <t xml:space="preserve">Compensación activa con saldo y base positiva</t>
  </si>
  <si>
    <t xml:space="preserve">Módulo fiscal silenciosamente desactivado</t>
  </si>
  <si>
    <t xml:space="preserve">SUITE METODOLÓGICA DE ERRORES PLANTADOS (verificación empírica de las defensas)</t>
  </si>
  <si>
    <t xml:space="preserve">Tabla metodológica: cada error se planta deliberadamente en una copia del modelo para confirmar que la defensa lo atrapa. Resultado de la última ejecución: 14/14 atrapados.</t>
  </si>
  <si>
    <t xml:space="preserve">Error deliberado</t>
  </si>
  <si>
    <t xml:space="preserve">Familia</t>
  </si>
  <si>
    <t xml:space="preserve">Impacto esperado</t>
  </si>
  <si>
    <t xml:space="preserve">Check que lo detecta</t>
  </si>
  <si>
    <t xml:space="preserve">Resultado esperado</t>
  </si>
  <si>
    <t xml:space="preserve">GF conectados a otra fila</t>
  </si>
  <si>
    <t xml:space="preserve">Conexión semántica</t>
  </si>
  <si>
    <t xml:space="preserve">Utilidad/impuestos/caja distorsionados; balance cuadra</t>
  </si>
  <si>
    <t xml:space="preserve">GF = intereses de la cascada</t>
  </si>
  <si>
    <t xml:space="preserve">Check semántico</t>
  </si>
  <si>
    <t xml:space="preserve">ERROR</t>
  </si>
  <si>
    <t xml:space="preserve">Dividendos decretados sin pagar</t>
  </si>
  <si>
    <t xml:space="preserve">Transacción de una pierna</t>
  </si>
  <si>
    <t xml:space="preserve">Descuadre creciente al ritmo del payout</t>
  </si>
  <si>
    <t xml:space="preserve">BALANCE CUADRA</t>
  </si>
  <si>
    <t xml:space="preserve">Depreciar el lote</t>
  </si>
  <si>
    <t xml:space="preserve">Base depreciable</t>
  </si>
  <si>
    <t xml:space="preserve">Escudo fiscal indebido</t>
  </si>
  <si>
    <t xml:space="preserve">Dep. acumulada exacta</t>
  </si>
  <si>
    <t xml:space="preserve">Utilización 120%</t>
  </si>
  <si>
    <t xml:space="preserve">Física del negocio</t>
  </si>
  <si>
    <t xml:space="preserve">Ventas sobre la capacidad</t>
  </si>
  <si>
    <t xml:space="preserve">Utilización ≤ 100%</t>
  </si>
  <si>
    <t xml:space="preserve">VR duplica el lote</t>
  </si>
  <si>
    <t xml:space="preserve">Doble conteo</t>
  </si>
  <si>
    <t xml:space="preserve">VAN inflado</t>
  </si>
  <si>
    <t xml:space="preserve">VR sin duplicar lote</t>
  </si>
  <si>
    <t xml:space="preserve">Gracia = plazo</t>
  </si>
  <si>
    <t xml:space="preserve">Estructura de deuda</t>
  </si>
  <si>
    <t xml:space="preserve">Deuda jamás amortiza</t>
  </si>
  <si>
    <t xml:space="preserve">Gracia &lt; Plazo + Deuda a cero</t>
  </si>
  <si>
    <t xml:space="preserve">ERROR (doble)</t>
  </si>
  <si>
    <t xml:space="preserve">KTN memo desalineado</t>
  </si>
  <si>
    <t xml:space="preserve">Reconciliación</t>
  </si>
  <si>
    <t xml:space="preserve">KT del flujo ≠ KT del balance</t>
  </si>
  <si>
    <t xml:space="preserve">KTN = C+I−P y Σ(−ΔKTN)</t>
  </si>
  <si>
    <t xml:space="preserve">Merma invertida</t>
  </si>
  <si>
    <t xml:space="preserve">Física del proceso</t>
  </si>
  <si>
    <t xml:space="preserve">Costo subestimado</t>
  </si>
  <si>
    <t xml:space="preserve">Kg verde &gt; kg tostado</t>
  </si>
  <si>
    <t xml:space="preserve">FCL con amortización restada</t>
  </si>
  <si>
    <t xml:space="preserve">Error auto-consistente</t>
  </si>
  <si>
    <t xml:space="preserve">Todas las métricas se mueven en armonía</t>
  </si>
  <si>
    <t xml:space="preserve">FCL = suma de componentes</t>
  </si>
  <si>
    <t xml:space="preserve">VAN de Outputs manipulado</t>
  </si>
  <si>
    <t xml:space="preserve">Tablero desconectado</t>
  </si>
  <si>
    <t xml:space="preserve">Decisión sobre cifra falsa</t>
  </si>
  <si>
    <t xml:space="preserve">VAN recalculado</t>
  </si>
  <si>
    <t xml:space="preserve">TIR de Outputs manipulada</t>
  </si>
  <si>
    <t xml:space="preserve">TIR recalculada</t>
  </si>
  <si>
    <t xml:space="preserve">WACC de Inputs desalineado</t>
  </si>
  <si>
    <t xml:space="preserve">Inconsistencia de tasas</t>
  </si>
  <si>
    <t xml:space="preserve">Descuento con tasa equivocada</t>
  </si>
  <si>
    <t xml:space="preserve">WACC consistente</t>
  </si>
  <si>
    <t xml:space="preserve">Compensación NOL en cero</t>
  </si>
  <si>
    <t xml:space="preserve">Impuestos de más, todo cuadra</t>
  </si>
  <si>
    <t xml:space="preserve">NOL se compensa</t>
  </si>
  <si>
    <t xml:space="preserve">Caja desconectada del flujo</t>
  </si>
  <si>
    <t xml:space="preserve">Activo inflado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</si>
</sst>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0"/>
    <numFmt numFmtId="166" formatCode="@"/>
    <numFmt numFmtId="167" formatCode="0.0%;\(0.0%\);\-"/>
    <numFmt numFmtId="168" formatCode="#,##0&quot; COP/kg&quot;"/>
    <numFmt numFmtId="169" formatCode="#,##0;\(#,##0\);\-"/>
    <numFmt numFmtId="170" formatCode="#,##0"/>
    <numFmt numFmtId="171" formatCode="0.00\x"/>
    <numFmt numFmtId="172" formatCode="0.000"/>
    <numFmt numFmtId="173" formatCode="0.00"/>
    <numFmt numFmtId="174" formatCode="0.0%;\(0.0%\)"/>
    <numFmt numFmtId="175" formatCode="0.00\x"/>
    <numFmt numFmtId="176" formatCode="#,##0;\(#,##0\)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i val="true"/>
      <sz val="9"/>
      <color rgb="FF808080"/>
      <name val="Arial"/>
      <family val="0"/>
      <charset val="1"/>
    </font>
    <font>
      <i val="true"/>
      <sz val="9"/>
      <name val="Arial"/>
      <family val="0"/>
      <charset val="1"/>
    </font>
    <font>
      <sz val="10"/>
      <name val="Arial"/>
      <family val="2"/>
    </font>
    <font>
      <sz val="11"/>
      <color rgb="FF008000"/>
      <name val="Arial"/>
      <family val="0"/>
      <charset val="1"/>
    </font>
    <font>
      <sz val="9"/>
      <name val="Arial"/>
      <family val="0"/>
      <charset val="1"/>
    </font>
    <font>
      <b val="true"/>
      <sz val="12"/>
      <name val="Arial"/>
      <family val="0"/>
      <charset val="1"/>
    </font>
    <font>
      <i val="true"/>
      <sz val="9"/>
      <color rgb="FF8B2B2B"/>
      <name val="Arial"/>
      <family val="0"/>
      <charset val="1"/>
    </font>
    <font>
      <b val="true"/>
      <sz val="8"/>
      <color rgb="FFFFFFFF"/>
      <name val="Arial"/>
      <family val="0"/>
      <charset val="1"/>
    </font>
    <font>
      <sz val="8"/>
      <name val="Arial"/>
      <family val="0"/>
      <charset val="1"/>
    </font>
    <font>
      <i val="true"/>
      <sz val="8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F4E5F"/>
        <bgColor rgb="FF333333"/>
      </patternFill>
    </fill>
    <fill>
      <patternFill patternType="solid">
        <fgColor rgb="FFD9E2E8"/>
        <bgColor rgb="FFCCFFFF"/>
      </patternFill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7" fillId="4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0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1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2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0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1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3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1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5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76" fontId="16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75" fontId="16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6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E2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F4E5F"/>
      <rgbColor rgb="FF339966"/>
      <rgbColor rgb="FF003300"/>
      <rgbColor rgb="FF333300"/>
      <rgbColor rgb="FF8B2B2B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30" hidden="false" customHeight="true" outlineLevel="0" collapsed="false">
      <c r="B4" s="4" t="s">
        <v>1</v>
      </c>
      <c r="D4" s="5" t="s">
        <v>2</v>
      </c>
      <c r="E4" s="5"/>
      <c r="F4" s="5"/>
      <c r="G4" s="5"/>
      <c r="H4" s="5"/>
      <c r="I4" s="5"/>
      <c r="J4" s="5"/>
      <c r="K4" s="5"/>
      <c r="L4" s="5"/>
      <c r="M4" s="5"/>
    </row>
    <row r="6" customFormat="false" ht="30" hidden="false" customHeight="true" outlineLevel="0" collapsed="false">
      <c r="B6" s="4" t="s">
        <v>3</v>
      </c>
      <c r="D6" s="5" t="s">
        <v>4</v>
      </c>
      <c r="E6" s="5"/>
      <c r="F6" s="5"/>
      <c r="G6" s="5"/>
      <c r="H6" s="5"/>
      <c r="I6" s="5"/>
      <c r="J6" s="5"/>
      <c r="K6" s="5"/>
      <c r="L6" s="5"/>
      <c r="M6" s="5"/>
    </row>
    <row r="8" customFormat="false" ht="30" hidden="false" customHeight="true" outlineLevel="0" collapsed="false">
      <c r="B8" s="4" t="s">
        <v>5</v>
      </c>
      <c r="D8" s="5" t="s">
        <v>6</v>
      </c>
      <c r="E8" s="5"/>
      <c r="F8" s="5"/>
      <c r="G8" s="5"/>
      <c r="H8" s="5"/>
      <c r="I8" s="5"/>
      <c r="J8" s="5"/>
      <c r="K8" s="5"/>
      <c r="L8" s="5"/>
      <c r="M8" s="5"/>
    </row>
    <row r="10" customFormat="false" ht="30" hidden="false" customHeight="true" outlineLevel="0" collapsed="false">
      <c r="B10" s="4" t="s">
        <v>7</v>
      </c>
      <c r="D10" s="5" t="s">
        <v>8</v>
      </c>
      <c r="E10" s="5"/>
      <c r="F10" s="5"/>
      <c r="G10" s="5"/>
      <c r="H10" s="5"/>
      <c r="I10" s="5"/>
      <c r="J10" s="5"/>
      <c r="K10" s="5"/>
      <c r="L10" s="5"/>
      <c r="M10" s="5"/>
    </row>
    <row r="12" customFormat="false" ht="30" hidden="false" customHeight="true" outlineLevel="0" collapsed="false">
      <c r="B12" s="4" t="s">
        <v>9</v>
      </c>
      <c r="D12" s="5" t="s">
        <v>10</v>
      </c>
      <c r="E12" s="5"/>
      <c r="F12" s="5"/>
      <c r="G12" s="5"/>
      <c r="H12" s="5"/>
      <c r="I12" s="5"/>
      <c r="J12" s="5"/>
      <c r="K12" s="5"/>
      <c r="L12" s="5"/>
      <c r="M12" s="5"/>
    </row>
    <row r="14" customFormat="false" ht="30" hidden="false" customHeight="true" outlineLevel="0" collapsed="false">
      <c r="B14" s="4" t="s">
        <v>11</v>
      </c>
      <c r="D14" s="5" t="s">
        <v>12</v>
      </c>
      <c r="E14" s="5"/>
      <c r="F14" s="5"/>
      <c r="G14" s="5"/>
      <c r="H14" s="5"/>
      <c r="I14" s="5"/>
      <c r="J14" s="5"/>
      <c r="K14" s="5"/>
      <c r="L14" s="5"/>
      <c r="M14" s="5"/>
    </row>
    <row r="16" customFormat="false" ht="30" hidden="false" customHeight="true" outlineLevel="0" collapsed="false">
      <c r="B16" s="4" t="s">
        <v>13</v>
      </c>
      <c r="D16" s="5" t="s">
        <v>14</v>
      </c>
      <c r="E16" s="5"/>
      <c r="F16" s="5"/>
      <c r="G16" s="5"/>
      <c r="H16" s="5"/>
      <c r="I16" s="5"/>
      <c r="J16" s="5"/>
      <c r="K16" s="5"/>
      <c r="L16" s="5"/>
      <c r="M16" s="5"/>
    </row>
    <row r="18" customFormat="false" ht="30" hidden="false" customHeight="true" outlineLevel="0" collapsed="false">
      <c r="B18" s="4" t="s">
        <v>15</v>
      </c>
      <c r="D18" s="5" t="s">
        <v>16</v>
      </c>
      <c r="E18" s="5"/>
      <c r="F18" s="5"/>
      <c r="G18" s="5"/>
      <c r="H18" s="5"/>
      <c r="I18" s="5"/>
      <c r="J18" s="5"/>
      <c r="K18" s="5"/>
      <c r="L18" s="5"/>
      <c r="M18" s="5"/>
    </row>
    <row r="20" customFormat="false" ht="30" hidden="false" customHeight="true" outlineLevel="0" collapsed="false">
      <c r="B20" s="4" t="s">
        <v>17</v>
      </c>
      <c r="D20" s="5" t="s">
        <v>18</v>
      </c>
      <c r="E20" s="5"/>
      <c r="F20" s="5"/>
      <c r="G20" s="5"/>
      <c r="H20" s="5"/>
      <c r="I20" s="5"/>
      <c r="J20" s="5"/>
      <c r="K20" s="5"/>
      <c r="L20" s="5"/>
      <c r="M20" s="5"/>
    </row>
  </sheetData>
  <mergeCells count="9">
    <mergeCell ref="D4:M4"/>
    <mergeCell ref="D6:M6"/>
    <mergeCell ref="D8:M8"/>
    <mergeCell ref="D10:M10"/>
    <mergeCell ref="D12:M12"/>
    <mergeCell ref="D14:M14"/>
    <mergeCell ref="D16:M16"/>
    <mergeCell ref="D18:M18"/>
    <mergeCell ref="D20:M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6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15" hidden="false" customHeight="true" outlineLevel="0" collapsed="false">
      <c r="B4" s="6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6" customFormat="false" ht="15" hidden="false" customHeight="true" outlineLevel="0" collapsed="false">
      <c r="B6" s="8" t="s">
        <v>21</v>
      </c>
      <c r="D6" s="9" t="n">
        <v>1</v>
      </c>
      <c r="F6" s="10" t="str">
        <f aca="false">CHOOSE(D6,"BASE","OPTIMISTA","PESIMISTA")</f>
        <v>BASE</v>
      </c>
    </row>
    <row r="8" customFormat="false" ht="15" hidden="false" customHeight="true" outlineLevel="0" collapsed="false">
      <c r="B8" s="6" t="s">
        <v>22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customFormat="false" ht="15" hidden="false" customHeight="true" outlineLevel="0" collapsed="false">
      <c r="B9" s="8" t="s">
        <v>23</v>
      </c>
      <c r="D9" s="11" t="n">
        <v>2027</v>
      </c>
    </row>
    <row r="10" customFormat="false" ht="15" hidden="false" customHeight="true" outlineLevel="0" collapsed="false">
      <c r="B10" s="8" t="s">
        <v>24</v>
      </c>
      <c r="D10" s="11" t="n">
        <v>10</v>
      </c>
    </row>
    <row r="12" customFormat="false" ht="15" hidden="false" customHeight="true" outlineLevel="0" collapsed="false">
      <c r="B12" s="6" t="s">
        <v>25</v>
      </c>
      <c r="C12" s="7"/>
      <c r="D12" s="6" t="s">
        <v>26</v>
      </c>
      <c r="E12" s="7"/>
      <c r="F12" s="6" t="s">
        <v>27</v>
      </c>
      <c r="G12" s="6" t="s">
        <v>28</v>
      </c>
      <c r="H12" s="6" t="s">
        <v>29</v>
      </c>
      <c r="I12" s="7"/>
      <c r="J12" s="7"/>
      <c r="K12" s="7"/>
      <c r="L12" s="7"/>
      <c r="M12" s="7"/>
      <c r="N12" s="7"/>
      <c r="O12" s="7"/>
    </row>
    <row r="13" customFormat="false" ht="15" hidden="false" customHeight="true" outlineLevel="0" collapsed="false">
      <c r="B13" s="8" t="s">
        <v>30</v>
      </c>
      <c r="D13" s="12" t="n">
        <f aca="false">INDEX(F13:H13,$D$6)</f>
        <v>0.85</v>
      </c>
      <c r="F13" s="13" t="n">
        <v>0.85</v>
      </c>
      <c r="G13" s="13" t="n">
        <v>0.95</v>
      </c>
      <c r="H13" s="13" t="n">
        <v>0.7</v>
      </c>
    </row>
    <row r="14" customFormat="false" ht="15" hidden="false" customHeight="true" outlineLevel="0" collapsed="false">
      <c r="B14" s="8" t="s">
        <v>31</v>
      </c>
      <c r="D14" s="14" t="n">
        <f aca="false">INDEX(F14:H14,$D$6)</f>
        <v>30000</v>
      </c>
      <c r="F14" s="15" t="n">
        <v>30000</v>
      </c>
      <c r="G14" s="15" t="n">
        <v>33000</v>
      </c>
      <c r="H14" s="15" t="n">
        <v>28200</v>
      </c>
    </row>
    <row r="15" customFormat="false" ht="15" hidden="false" customHeight="true" outlineLevel="0" collapsed="false">
      <c r="B15" s="8" t="s">
        <v>32</v>
      </c>
      <c r="D15" s="14" t="n">
        <f aca="false">INDEX(F15:H15,$D$6)</f>
        <v>19000</v>
      </c>
      <c r="F15" s="15" t="n">
        <v>19000</v>
      </c>
      <c r="G15" s="15" t="n">
        <v>17500</v>
      </c>
      <c r="H15" s="15" t="n">
        <v>20500</v>
      </c>
    </row>
    <row r="16" customFormat="false" ht="15" hidden="false" customHeight="true" outlineLevel="0" collapsed="false">
      <c r="B16" s="8" t="s">
        <v>33</v>
      </c>
      <c r="D16" s="12" t="n">
        <f aca="false">INDEX(F16:H16,$D$6)</f>
        <v>0.045</v>
      </c>
      <c r="F16" s="13" t="n">
        <v>0.045</v>
      </c>
      <c r="G16" s="13" t="n">
        <v>0.035</v>
      </c>
      <c r="H16" s="13" t="n">
        <v>0.06</v>
      </c>
    </row>
    <row r="18" customFormat="false" ht="15" hidden="false" customHeight="true" outlineLevel="0" collapsed="false">
      <c r="B18" s="6" t="s">
        <v>34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customFormat="false" ht="15" hidden="false" customHeight="true" outlineLevel="0" collapsed="false">
      <c r="B19" s="8" t="s">
        <v>35</v>
      </c>
      <c r="C19" s="16" t="s">
        <v>36</v>
      </c>
      <c r="D19" s="17" t="n">
        <v>400000000</v>
      </c>
    </row>
    <row r="20" customFormat="false" ht="15" hidden="false" customHeight="true" outlineLevel="0" collapsed="false">
      <c r="B20" s="8" t="s">
        <v>37</v>
      </c>
      <c r="C20" s="16" t="s">
        <v>36</v>
      </c>
      <c r="D20" s="17" t="n">
        <v>600000000</v>
      </c>
    </row>
    <row r="21" customFormat="false" ht="15" hidden="false" customHeight="true" outlineLevel="0" collapsed="false">
      <c r="B21" s="8" t="s">
        <v>38</v>
      </c>
      <c r="C21" s="16" t="s">
        <v>39</v>
      </c>
      <c r="D21" s="17" t="n">
        <v>250000</v>
      </c>
    </row>
    <row r="22" customFormat="false" ht="15" hidden="false" customHeight="true" outlineLevel="0" collapsed="false">
      <c r="B22" s="8" t="s">
        <v>40</v>
      </c>
      <c r="C22" s="16" t="s">
        <v>41</v>
      </c>
      <c r="D22" s="18" t="n">
        <v>4200</v>
      </c>
    </row>
    <row r="23" customFormat="false" ht="15" hidden="false" customHeight="true" outlineLevel="0" collapsed="false">
      <c r="B23" s="8" t="s">
        <v>42</v>
      </c>
      <c r="C23" s="16" t="s">
        <v>36</v>
      </c>
      <c r="D23" s="19" t="n">
        <f aca="false">D21*D22</f>
        <v>1050000000</v>
      </c>
    </row>
    <row r="24" customFormat="false" ht="15" hidden="false" customHeight="true" outlineLevel="0" collapsed="false">
      <c r="B24" s="4" t="s">
        <v>43</v>
      </c>
      <c r="C24" s="16" t="s">
        <v>36</v>
      </c>
      <c r="D24" s="19" t="n">
        <f aca="false">D19+D20+D23</f>
        <v>2050000000</v>
      </c>
    </row>
    <row r="26" customFormat="false" ht="15" hidden="false" customHeight="true" outlineLevel="0" collapsed="false">
      <c r="B26" s="6" t="s">
        <v>44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customFormat="false" ht="15" hidden="false" customHeight="true" outlineLevel="0" collapsed="false">
      <c r="B27" s="8" t="s">
        <v>45</v>
      </c>
      <c r="C27" s="16" t="s">
        <v>46</v>
      </c>
      <c r="D27" s="11" t="n">
        <v>20</v>
      </c>
    </row>
    <row r="28" customFormat="false" ht="15" hidden="false" customHeight="true" outlineLevel="0" collapsed="false">
      <c r="B28" s="8" t="s">
        <v>47</v>
      </c>
      <c r="C28" s="16" t="s">
        <v>46</v>
      </c>
      <c r="D28" s="11" t="n">
        <v>10</v>
      </c>
    </row>
    <row r="30" customFormat="false" ht="15" hidden="false" customHeight="true" outlineLevel="0" collapsed="false">
      <c r="B30" s="6" t="s">
        <v>48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customFormat="false" ht="15" hidden="false" customHeight="true" outlineLevel="0" collapsed="false">
      <c r="B31" s="8" t="s">
        <v>49</v>
      </c>
      <c r="D31" s="13" t="n">
        <v>0.6</v>
      </c>
    </row>
    <row r="32" customFormat="false" ht="15" hidden="false" customHeight="true" outlineLevel="0" collapsed="false">
      <c r="B32" s="8" t="s">
        <v>50</v>
      </c>
      <c r="D32" s="13" t="n">
        <v>0.12</v>
      </c>
    </row>
    <row r="33" customFormat="false" ht="15" hidden="false" customHeight="true" outlineLevel="0" collapsed="false">
      <c r="B33" s="8" t="s">
        <v>51</v>
      </c>
      <c r="C33" s="16" t="s">
        <v>46</v>
      </c>
      <c r="D33" s="11" t="n">
        <v>7</v>
      </c>
    </row>
    <row r="34" customFormat="false" ht="15" hidden="false" customHeight="true" outlineLevel="0" collapsed="false">
      <c r="B34" s="8" t="s">
        <v>52</v>
      </c>
      <c r="C34" s="16" t="s">
        <v>46</v>
      </c>
      <c r="D34" s="11" t="n">
        <v>2</v>
      </c>
    </row>
    <row r="35" customFormat="false" ht="15" hidden="false" customHeight="true" outlineLevel="0" collapsed="false">
      <c r="B35" s="8" t="s">
        <v>53</v>
      </c>
      <c r="C35" s="16" t="s">
        <v>36</v>
      </c>
      <c r="D35" s="17" t="n">
        <v>800000000</v>
      </c>
    </row>
    <row r="36" customFormat="false" ht="15" hidden="false" customHeight="true" outlineLevel="0" collapsed="false">
      <c r="B36" s="6" t="s">
        <v>54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</row>
    <row r="37" customFormat="false" ht="15" hidden="false" customHeight="true" outlineLevel="0" collapsed="false">
      <c r="B37" s="8" t="s">
        <v>55</v>
      </c>
      <c r="C37" s="16" t="s">
        <v>56</v>
      </c>
      <c r="D37" s="18" t="n">
        <v>20000</v>
      </c>
    </row>
    <row r="38" customFormat="false" ht="15" hidden="false" customHeight="true" outlineLevel="0" collapsed="false">
      <c r="B38" s="8" t="s">
        <v>57</v>
      </c>
      <c r="D38" s="13" t="n">
        <v>0.5</v>
      </c>
    </row>
    <row r="39" customFormat="false" ht="15" hidden="false" customHeight="true" outlineLevel="0" collapsed="false">
      <c r="B39" s="8" t="s">
        <v>58</v>
      </c>
      <c r="D39" s="13" t="n">
        <v>0.7</v>
      </c>
    </row>
    <row r="40" customFormat="false" ht="15" hidden="false" customHeight="true" outlineLevel="0" collapsed="false">
      <c r="B40" s="8" t="s">
        <v>59</v>
      </c>
      <c r="D40" s="13" t="n">
        <v>0.7</v>
      </c>
    </row>
    <row r="41" customFormat="false" ht="15" hidden="false" customHeight="true" outlineLevel="0" collapsed="false">
      <c r="B41" s="8" t="s">
        <v>60</v>
      </c>
      <c r="D41" s="13" t="n">
        <v>0.45</v>
      </c>
    </row>
    <row r="42" customFormat="false" ht="15" hidden="false" customHeight="true" outlineLevel="0" collapsed="false">
      <c r="B42" s="8" t="s">
        <v>61</v>
      </c>
      <c r="D42" s="13" t="n">
        <v>0.18</v>
      </c>
    </row>
    <row r="43" customFormat="false" ht="15" hidden="false" customHeight="true" outlineLevel="0" collapsed="false">
      <c r="B43" s="8" t="s">
        <v>62</v>
      </c>
      <c r="C43" s="16" t="s">
        <v>63</v>
      </c>
      <c r="D43" s="18" t="n">
        <v>1200</v>
      </c>
    </row>
    <row r="44" customFormat="false" ht="15" hidden="false" customHeight="true" outlineLevel="0" collapsed="false">
      <c r="B44" s="8" t="s">
        <v>64</v>
      </c>
      <c r="C44" s="16" t="s">
        <v>36</v>
      </c>
      <c r="D44" s="17" t="n">
        <v>900000000</v>
      </c>
    </row>
    <row r="46" customFormat="false" ht="15" hidden="false" customHeight="true" outlineLevel="0" collapsed="false">
      <c r="B46" s="6" t="s">
        <v>65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</row>
    <row r="47" customFormat="false" ht="15" hidden="false" customHeight="true" outlineLevel="0" collapsed="false">
      <c r="B47" s="8" t="s">
        <v>66</v>
      </c>
      <c r="D47" s="11" t="n">
        <v>60</v>
      </c>
    </row>
    <row r="48" customFormat="false" ht="15" hidden="false" customHeight="true" outlineLevel="0" collapsed="false">
      <c r="B48" s="8" t="s">
        <v>67</v>
      </c>
      <c r="D48" s="11" t="n">
        <v>45</v>
      </c>
    </row>
    <row r="49" customFormat="false" ht="15" hidden="false" customHeight="true" outlineLevel="0" collapsed="false">
      <c r="B49" s="8" t="s">
        <v>68</v>
      </c>
      <c r="D49" s="11" t="n">
        <v>30</v>
      </c>
    </row>
    <row r="50" customFormat="false" ht="15" hidden="false" customHeight="true" outlineLevel="0" collapsed="false">
      <c r="B50" s="8" t="s">
        <v>69</v>
      </c>
      <c r="D50" s="13" t="n">
        <v>0.3</v>
      </c>
    </row>
    <row r="51" customFormat="false" ht="15" hidden="false" customHeight="true" outlineLevel="0" collapsed="false">
      <c r="B51" s="8" t="s">
        <v>70</v>
      </c>
      <c r="D51" s="11" t="n">
        <v>360</v>
      </c>
    </row>
    <row r="52" customFormat="false" ht="15" hidden="false" customHeight="true" outlineLevel="0" collapsed="false">
      <c r="B52" s="6" t="s">
        <v>71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</row>
    <row r="53" customFormat="false" ht="15" hidden="false" customHeight="true" outlineLevel="0" collapsed="false">
      <c r="B53" s="8" t="s">
        <v>72</v>
      </c>
      <c r="D53" s="13" t="n">
        <v>0.35</v>
      </c>
    </row>
    <row r="54" customFormat="false" ht="15" hidden="false" customHeight="true" outlineLevel="0" collapsed="false">
      <c r="B54" s="8" t="s">
        <v>73</v>
      </c>
      <c r="D54" s="13" t="n">
        <v>0.18</v>
      </c>
    </row>
    <row r="55" customFormat="false" ht="15" hidden="false" customHeight="true" outlineLevel="0" collapsed="false">
      <c r="B55" s="4" t="s">
        <v>74</v>
      </c>
      <c r="D55" s="12" t="n">
        <f aca="false">D31*D32*(1-D53)+(1-D31)*D54</f>
        <v>0.1188</v>
      </c>
    </row>
    <row r="56" customFormat="false" ht="15" hidden="false" customHeight="true" outlineLevel="0" collapsed="false">
      <c r="B56" s="8" t="s">
        <v>75</v>
      </c>
      <c r="D56" s="20" t="s">
        <v>76</v>
      </c>
      <c r="E56" s="20"/>
      <c r="F56" s="20"/>
      <c r="G56" s="20"/>
      <c r="H56" s="20"/>
      <c r="I56" s="20"/>
      <c r="J56" s="20"/>
      <c r="K56" s="20"/>
      <c r="L56" s="20"/>
      <c r="M56" s="20"/>
    </row>
    <row r="57" customFormat="false" ht="15" hidden="false" customHeight="true" outlineLevel="0" collapsed="false">
      <c r="B57" s="8" t="s">
        <v>77</v>
      </c>
      <c r="D57" s="21" t="n">
        <v>1.2</v>
      </c>
    </row>
    <row r="58" customFormat="false" ht="15" hidden="false" customHeight="true" outlineLevel="0" collapsed="false">
      <c r="B58" s="6" t="s">
        <v>78</v>
      </c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</row>
    <row r="59" customFormat="false" ht="15" hidden="false" customHeight="true" outlineLevel="0" collapsed="false">
      <c r="B59" s="8" t="s">
        <v>79</v>
      </c>
      <c r="D59" s="13" t="n">
        <v>1</v>
      </c>
    </row>
    <row r="60" customFormat="false" ht="15" hidden="false" customHeight="true" outlineLevel="0" collapsed="false">
      <c r="B60" s="8" t="s">
        <v>80</v>
      </c>
      <c r="D60" s="13" t="n">
        <v>1</v>
      </c>
    </row>
  </sheetData>
  <mergeCells count="1">
    <mergeCell ref="D56:M5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7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5" topLeftCell="D6" activePane="bottomRight" state="frozen"/>
      <selection pane="topLeft" activeCell="A1" activeCellId="0" sqref="A1"/>
      <selection pane="topRight" activeCell="D1" activeCellId="0" sqref="D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81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15" hidden="false" customHeight="true" outlineLevel="0" collapsed="false">
      <c r="B4" s="4" t="s">
        <v>82</v>
      </c>
      <c r="D4" s="22" t="n">
        <f aca="false">'1.Inputs'!D9</f>
        <v>2027</v>
      </c>
      <c r="E4" s="23" t="n">
        <f aca="false">D4+1</f>
        <v>2028</v>
      </c>
      <c r="F4" s="23" t="n">
        <f aca="false">E4+1</f>
        <v>2029</v>
      </c>
      <c r="G4" s="23" t="n">
        <f aca="false">F4+1</f>
        <v>2030</v>
      </c>
      <c r="H4" s="23" t="n">
        <f aca="false">G4+1</f>
        <v>2031</v>
      </c>
      <c r="I4" s="23" t="n">
        <f aca="false">H4+1</f>
        <v>2032</v>
      </c>
      <c r="J4" s="23" t="n">
        <f aca="false">I4+1</f>
        <v>2033</v>
      </c>
      <c r="K4" s="23" t="n">
        <f aca="false">J4+1</f>
        <v>2034</v>
      </c>
      <c r="L4" s="23" t="n">
        <f aca="false">K4+1</f>
        <v>2035</v>
      </c>
      <c r="M4" s="23" t="n">
        <f aca="false">L4+1</f>
        <v>2036</v>
      </c>
      <c r="N4" s="23" t="n">
        <f aca="false">M4+1</f>
        <v>2037</v>
      </c>
    </row>
    <row r="5" customFormat="false" ht="15" hidden="false" customHeight="true" outlineLevel="0" collapsed="false">
      <c r="B5" s="4" t="s">
        <v>83</v>
      </c>
      <c r="D5" s="23" t="n">
        <v>0</v>
      </c>
      <c r="E5" s="23" t="n">
        <v>1</v>
      </c>
      <c r="F5" s="23" t="n">
        <v>2</v>
      </c>
      <c r="G5" s="23" t="n">
        <v>3</v>
      </c>
      <c r="H5" s="23" t="n">
        <v>4</v>
      </c>
      <c r="I5" s="23" t="n">
        <v>5</v>
      </c>
      <c r="J5" s="23" t="n">
        <v>6</v>
      </c>
      <c r="K5" s="23" t="n">
        <v>7</v>
      </c>
      <c r="L5" s="23" t="n">
        <v>8</v>
      </c>
      <c r="M5" s="23" t="n">
        <v>9</v>
      </c>
      <c r="N5" s="23" t="n">
        <v>10</v>
      </c>
    </row>
    <row r="6" customFormat="false" ht="15" hidden="false" customHeight="true" outlineLevel="0" collapsed="false">
      <c r="B6" s="8" t="s">
        <v>84</v>
      </c>
      <c r="D6" s="24" t="n">
        <f aca="false">1</f>
        <v>1</v>
      </c>
      <c r="E6" s="24" t="n">
        <f aca="false">1</f>
        <v>1</v>
      </c>
      <c r="F6" s="24" t="n">
        <f aca="false">E6*(1+'1.Inputs'!$D$16)</f>
        <v>1.045</v>
      </c>
      <c r="G6" s="24" t="n">
        <f aca="false">F6*(1+'1.Inputs'!$D$16)</f>
        <v>1.092025</v>
      </c>
      <c r="H6" s="24" t="n">
        <f aca="false">G6*(1+'1.Inputs'!$D$16)</f>
        <v>1.141166125</v>
      </c>
      <c r="I6" s="24" t="n">
        <f aca="false">H6*(1+'1.Inputs'!$D$16)</f>
        <v>1.192518600625</v>
      </c>
      <c r="J6" s="24" t="n">
        <f aca="false">I6*(1+'1.Inputs'!$D$16)</f>
        <v>1.24618193765312</v>
      </c>
      <c r="K6" s="24" t="n">
        <f aca="false">J6*(1+'1.Inputs'!$D$16)</f>
        <v>1.30226012484752</v>
      </c>
      <c r="L6" s="24" t="n">
        <f aca="false">K6*(1+'1.Inputs'!$D$16)</f>
        <v>1.36086183046565</v>
      </c>
      <c r="M6" s="24" t="n">
        <f aca="false">L6*(1+'1.Inputs'!$D$16)</f>
        <v>1.42210061283661</v>
      </c>
      <c r="N6" s="24" t="n">
        <f aca="false">M6*(1+'1.Inputs'!$D$16)</f>
        <v>1.48609514041425</v>
      </c>
    </row>
    <row r="8" customFormat="false" ht="15" hidden="false" customHeight="true" outlineLevel="0" collapsed="false">
      <c r="B8" s="6" t="s">
        <v>85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customFormat="false" ht="15" hidden="false" customHeight="true" outlineLevel="0" collapsed="false">
      <c r="B9" s="8" t="s">
        <v>86</v>
      </c>
      <c r="D9" s="12" t="n">
        <f aca="false">0</f>
        <v>0</v>
      </c>
      <c r="E9" s="25" t="n">
        <f aca="false">'1.Inputs'!$D$38</f>
        <v>0.5</v>
      </c>
      <c r="F9" s="25" t="n">
        <f aca="false">'1.Inputs'!$D$39</f>
        <v>0.7</v>
      </c>
      <c r="G9" s="25" t="n">
        <f aca="false">'1.Inputs'!$D$13</f>
        <v>0.85</v>
      </c>
      <c r="H9" s="25" t="n">
        <f aca="false">'1.Inputs'!$D$13</f>
        <v>0.85</v>
      </c>
      <c r="I9" s="25" t="n">
        <f aca="false">'1.Inputs'!$D$13</f>
        <v>0.85</v>
      </c>
      <c r="J9" s="25" t="n">
        <f aca="false">'1.Inputs'!$D$13</f>
        <v>0.85</v>
      </c>
      <c r="K9" s="25" t="n">
        <f aca="false">'1.Inputs'!$D$13</f>
        <v>0.85</v>
      </c>
      <c r="L9" s="25" t="n">
        <f aca="false">'1.Inputs'!$D$13</f>
        <v>0.85</v>
      </c>
      <c r="M9" s="25" t="n">
        <f aca="false">'1.Inputs'!$D$13</f>
        <v>0.85</v>
      </c>
      <c r="N9" s="25" t="n">
        <f aca="false">'1.Inputs'!$D$13</f>
        <v>0.85</v>
      </c>
    </row>
    <row r="10" customFormat="false" ht="15" hidden="false" customHeight="true" outlineLevel="0" collapsed="false">
      <c r="B10" s="8" t="s">
        <v>87</v>
      </c>
      <c r="C10" s="16" t="s">
        <v>88</v>
      </c>
      <c r="D10" s="19" t="n">
        <f aca="false">'1.Inputs'!$D$37*12*D9</f>
        <v>0</v>
      </c>
      <c r="E10" s="19" t="n">
        <f aca="false">'1.Inputs'!$D$37*12*E9</f>
        <v>120000</v>
      </c>
      <c r="F10" s="19" t="n">
        <f aca="false">'1.Inputs'!$D$37*12*F9</f>
        <v>168000</v>
      </c>
      <c r="G10" s="19" t="n">
        <f aca="false">'1.Inputs'!$D$37*12*G9</f>
        <v>204000</v>
      </c>
      <c r="H10" s="19" t="n">
        <f aca="false">'1.Inputs'!$D$37*12*H9</f>
        <v>204000</v>
      </c>
      <c r="I10" s="19" t="n">
        <f aca="false">'1.Inputs'!$D$37*12*I9</f>
        <v>204000</v>
      </c>
      <c r="J10" s="19" t="n">
        <f aca="false">'1.Inputs'!$D$37*12*J9</f>
        <v>204000</v>
      </c>
      <c r="K10" s="19" t="n">
        <f aca="false">'1.Inputs'!$D$37*12*K9</f>
        <v>204000</v>
      </c>
      <c r="L10" s="19" t="n">
        <f aca="false">'1.Inputs'!$D$37*12*L9</f>
        <v>204000</v>
      </c>
      <c r="M10" s="19" t="n">
        <f aca="false">'1.Inputs'!$D$37*12*M9</f>
        <v>204000</v>
      </c>
      <c r="N10" s="19" t="n">
        <f aca="false">'1.Inputs'!$D$37*12*N9</f>
        <v>204000</v>
      </c>
    </row>
    <row r="11" customFormat="false" ht="15" hidden="false" customHeight="true" outlineLevel="0" collapsed="false">
      <c r="B11" s="8" t="s">
        <v>89</v>
      </c>
      <c r="C11" s="16" t="s">
        <v>88</v>
      </c>
      <c r="D11" s="19" t="n">
        <f aca="false">D10/(1-'1.Inputs'!$D$42)</f>
        <v>0</v>
      </c>
      <c r="E11" s="19" t="n">
        <f aca="false">E10/(1-'1.Inputs'!$D$42)</f>
        <v>146341.463414634</v>
      </c>
      <c r="F11" s="19" t="n">
        <f aca="false">F10/(1-'1.Inputs'!$D$42)</f>
        <v>204878.048780488</v>
      </c>
      <c r="G11" s="19" t="n">
        <f aca="false">G10/(1-'1.Inputs'!$D$42)</f>
        <v>248780.487804878</v>
      </c>
      <c r="H11" s="19" t="n">
        <f aca="false">H10/(1-'1.Inputs'!$D$42)</f>
        <v>248780.487804878</v>
      </c>
      <c r="I11" s="19" t="n">
        <f aca="false">I10/(1-'1.Inputs'!$D$42)</f>
        <v>248780.487804878</v>
      </c>
      <c r="J11" s="19" t="n">
        <f aca="false">J10/(1-'1.Inputs'!$D$42)</f>
        <v>248780.487804878</v>
      </c>
      <c r="K11" s="19" t="n">
        <f aca="false">K10/(1-'1.Inputs'!$D$42)</f>
        <v>248780.487804878</v>
      </c>
      <c r="L11" s="19" t="n">
        <f aca="false">L10/(1-'1.Inputs'!$D$42)</f>
        <v>248780.487804878</v>
      </c>
      <c r="M11" s="19" t="n">
        <f aca="false">M10/(1-'1.Inputs'!$D$42)</f>
        <v>248780.487804878</v>
      </c>
      <c r="N11" s="19" t="n">
        <f aca="false">N10/(1-'1.Inputs'!$D$42)</f>
        <v>248780.487804878</v>
      </c>
    </row>
    <row r="12" customFormat="false" ht="15" hidden="false" customHeight="true" outlineLevel="0" collapsed="false">
      <c r="B12" s="8" t="s">
        <v>90</v>
      </c>
      <c r="C12" s="16" t="s">
        <v>63</v>
      </c>
      <c r="D12" s="26" t="n">
        <f aca="false">'1.Inputs'!$D$14*D6*('1.Inputs'!$D$40+(1-'1.Inputs'!$D$40)*(1+'1.Inputs'!$D$41))</f>
        <v>34050</v>
      </c>
      <c r="E12" s="26" t="n">
        <f aca="false">'1.Inputs'!$D$14*E6*('1.Inputs'!$D$40+(1-'1.Inputs'!$D$40)*(1+'1.Inputs'!$D$41))</f>
        <v>34050</v>
      </c>
      <c r="F12" s="26" t="n">
        <f aca="false">'1.Inputs'!$D$14*F6*('1.Inputs'!$D$40+(1-'1.Inputs'!$D$40)*(1+'1.Inputs'!$D$41))</f>
        <v>35582.25</v>
      </c>
      <c r="G12" s="26" t="n">
        <f aca="false">'1.Inputs'!$D$14*G6*('1.Inputs'!$D$40+(1-'1.Inputs'!$D$40)*(1+'1.Inputs'!$D$41))</f>
        <v>37183.45125</v>
      </c>
      <c r="H12" s="26" t="n">
        <f aca="false">'1.Inputs'!$D$14*H6*('1.Inputs'!$D$40+(1-'1.Inputs'!$D$40)*(1+'1.Inputs'!$D$41))</f>
        <v>38856.70655625</v>
      </c>
      <c r="I12" s="26" t="n">
        <f aca="false">'1.Inputs'!$D$14*I6*('1.Inputs'!$D$40+(1-'1.Inputs'!$D$40)*(1+'1.Inputs'!$D$41))</f>
        <v>40605.2583512812</v>
      </c>
      <c r="J12" s="26" t="n">
        <f aca="false">'1.Inputs'!$D$14*J6*('1.Inputs'!$D$40+(1-'1.Inputs'!$D$40)*(1+'1.Inputs'!$D$41))</f>
        <v>42432.4949770889</v>
      </c>
      <c r="K12" s="26" t="n">
        <f aca="false">'1.Inputs'!$D$14*K6*('1.Inputs'!$D$40+(1-'1.Inputs'!$D$40)*(1+'1.Inputs'!$D$41))</f>
        <v>44341.9572510579</v>
      </c>
      <c r="L12" s="26" t="n">
        <f aca="false">'1.Inputs'!$D$14*L6*('1.Inputs'!$D$40+(1-'1.Inputs'!$D$40)*(1+'1.Inputs'!$D$41))</f>
        <v>46337.3453273555</v>
      </c>
      <c r="M12" s="26" t="n">
        <f aca="false">'1.Inputs'!$D$14*M6*('1.Inputs'!$D$40+(1-'1.Inputs'!$D$40)*(1+'1.Inputs'!$D$41))</f>
        <v>48422.5258670865</v>
      </c>
      <c r="N12" s="26" t="n">
        <f aca="false">'1.Inputs'!$D$14*N6*('1.Inputs'!$D$40+(1-'1.Inputs'!$D$40)*(1+'1.Inputs'!$D$41))</f>
        <v>50601.5395311054</v>
      </c>
    </row>
    <row r="14" customFormat="false" ht="15" hidden="false" customHeight="true" outlineLevel="0" collapsed="false">
      <c r="B14" s="6" t="s">
        <v>91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customFormat="false" ht="15" hidden="false" customHeight="true" outlineLevel="0" collapsed="false">
      <c r="B15" s="8" t="s">
        <v>92</v>
      </c>
      <c r="C15" s="16" t="s">
        <v>36</v>
      </c>
      <c r="D15" s="19" t="n">
        <f aca="false">D10*D12</f>
        <v>0</v>
      </c>
      <c r="E15" s="19" t="n">
        <f aca="false">E10*E12</f>
        <v>4086000000</v>
      </c>
      <c r="F15" s="19" t="n">
        <f aca="false">F10*F12</f>
        <v>5977818000</v>
      </c>
      <c r="G15" s="19" t="n">
        <f aca="false">G10*G12</f>
        <v>7585424055</v>
      </c>
      <c r="H15" s="19" t="n">
        <f aca="false">H10*H12</f>
        <v>7926768137.475</v>
      </c>
      <c r="I15" s="19" t="n">
        <f aca="false">I10*I12</f>
        <v>8283472703.66137</v>
      </c>
      <c r="J15" s="19" t="n">
        <f aca="false">J10*J12</f>
        <v>8656228975.32613</v>
      </c>
      <c r="K15" s="19" t="n">
        <f aca="false">K10*K12</f>
        <v>9045759279.21581</v>
      </c>
      <c r="L15" s="19" t="n">
        <f aca="false">L10*L12</f>
        <v>9452818446.78052</v>
      </c>
      <c r="M15" s="19" t="n">
        <f aca="false">M10*M12</f>
        <v>9878195276.88565</v>
      </c>
      <c r="N15" s="19" t="n">
        <f aca="false">N10*N12</f>
        <v>10322714064.3455</v>
      </c>
    </row>
    <row r="16" customFormat="false" ht="15" hidden="false" customHeight="true" outlineLevel="0" collapsed="false">
      <c r="B16" s="8" t="s">
        <v>93</v>
      </c>
      <c r="C16" s="16" t="s">
        <v>36</v>
      </c>
      <c r="D16" s="19" t="n">
        <f aca="false">D11*'1.Inputs'!$D$15*D6</f>
        <v>0</v>
      </c>
      <c r="E16" s="19" t="n">
        <f aca="false">E11*'1.Inputs'!$D$15*E6</f>
        <v>2780487804.87805</v>
      </c>
      <c r="F16" s="19" t="n">
        <f aca="false">F11*'1.Inputs'!$D$15*F6</f>
        <v>4067853658.53659</v>
      </c>
      <c r="G16" s="19" t="n">
        <f aca="false">G11*'1.Inputs'!$D$15*G6</f>
        <v>5161815731.70732</v>
      </c>
      <c r="H16" s="19" t="n">
        <f aca="false">H11*'1.Inputs'!$D$15*H6</f>
        <v>5394097439.63415</v>
      </c>
      <c r="I16" s="19" t="n">
        <f aca="false">I11*'1.Inputs'!$D$15*I6</f>
        <v>5636831824.41768</v>
      </c>
      <c r="J16" s="19" t="n">
        <f aca="false">J11*'1.Inputs'!$D$15*J6</f>
        <v>5890489256.51648</v>
      </c>
      <c r="K16" s="19" t="n">
        <f aca="false">K11*'1.Inputs'!$D$15*K6</f>
        <v>6155561273.05972</v>
      </c>
      <c r="L16" s="19" t="n">
        <f aca="false">L11*'1.Inputs'!$D$15*L6</f>
        <v>6432561530.3474</v>
      </c>
      <c r="M16" s="19" t="n">
        <f aca="false">M11*'1.Inputs'!$D$15*M6</f>
        <v>6722026799.21304</v>
      </c>
      <c r="N16" s="19" t="n">
        <f aca="false">N11*'1.Inputs'!$D$15*N6</f>
        <v>7024518005.17762</v>
      </c>
    </row>
    <row r="17" customFormat="false" ht="15" hidden="false" customHeight="true" outlineLevel="0" collapsed="false">
      <c r="B17" s="8" t="s">
        <v>94</v>
      </c>
      <c r="C17" s="16" t="s">
        <v>36</v>
      </c>
      <c r="D17" s="19" t="n">
        <f aca="false">D10*'1.Inputs'!$D$43*D6</f>
        <v>0</v>
      </c>
      <c r="E17" s="19" t="n">
        <f aca="false">E10*'1.Inputs'!$D$43*E6</f>
        <v>144000000</v>
      </c>
      <c r="F17" s="19" t="n">
        <f aca="false">F10*'1.Inputs'!$D$43*F6</f>
        <v>210672000</v>
      </c>
      <c r="G17" s="19" t="n">
        <f aca="false">G10*'1.Inputs'!$D$43*G6</f>
        <v>267327720</v>
      </c>
      <c r="H17" s="19" t="n">
        <f aca="false">H10*'1.Inputs'!$D$43*H6</f>
        <v>279357467.4</v>
      </c>
      <c r="I17" s="19" t="n">
        <f aca="false">I10*'1.Inputs'!$D$43*I6</f>
        <v>291928553.433</v>
      </c>
      <c r="J17" s="19" t="n">
        <f aca="false">J10*'1.Inputs'!$D$43*J6</f>
        <v>305065338.337485</v>
      </c>
      <c r="K17" s="19" t="n">
        <f aca="false">K10*'1.Inputs'!$D$43*K6</f>
        <v>318793278.562672</v>
      </c>
      <c r="L17" s="19" t="n">
        <f aca="false">L10*'1.Inputs'!$D$43*L6</f>
        <v>333138976.097992</v>
      </c>
      <c r="M17" s="19" t="n">
        <f aca="false">M10*'1.Inputs'!$D$43*M6</f>
        <v>348130230.022402</v>
      </c>
      <c r="N17" s="19" t="n">
        <f aca="false">N10*'1.Inputs'!$D$43*N6</f>
        <v>363796090.37341</v>
      </c>
    </row>
    <row r="18" customFormat="false" ht="15" hidden="false" customHeight="true" outlineLevel="0" collapsed="false">
      <c r="B18" s="8" t="s">
        <v>95</v>
      </c>
      <c r="C18" s="16" t="s">
        <v>36</v>
      </c>
      <c r="D18" s="19" t="n">
        <f aca="false">0</f>
        <v>0</v>
      </c>
      <c r="E18" s="19" t="n">
        <f aca="false">'1.Inputs'!$D$44*E6</f>
        <v>900000000</v>
      </c>
      <c r="F18" s="19" t="n">
        <f aca="false">'1.Inputs'!$D$44*F6</f>
        <v>940500000</v>
      </c>
      <c r="G18" s="19" t="n">
        <f aca="false">'1.Inputs'!$D$44*G6</f>
        <v>982822500</v>
      </c>
      <c r="H18" s="19" t="n">
        <f aca="false">'1.Inputs'!$D$44*H6</f>
        <v>1027049512.5</v>
      </c>
      <c r="I18" s="19" t="n">
        <f aca="false">'1.Inputs'!$D$44*I6</f>
        <v>1073266740.5625</v>
      </c>
      <c r="J18" s="19" t="n">
        <f aca="false">'1.Inputs'!$D$44*J6</f>
        <v>1121563743.88781</v>
      </c>
      <c r="K18" s="19" t="n">
        <f aca="false">'1.Inputs'!$D$44*K6</f>
        <v>1172034112.36276</v>
      </c>
      <c r="L18" s="19" t="n">
        <f aca="false">'1.Inputs'!$D$44*L6</f>
        <v>1224775647.41909</v>
      </c>
      <c r="M18" s="19" t="n">
        <f aca="false">'1.Inputs'!$D$44*M6</f>
        <v>1279890551.55295</v>
      </c>
      <c r="N18" s="19" t="n">
        <f aca="false">'1.Inputs'!$D$44*N6</f>
        <v>1337485626.37283</v>
      </c>
    </row>
    <row r="19" customFormat="false" ht="15" hidden="false" customHeight="true" outlineLevel="0" collapsed="false">
      <c r="B19" s="4" t="s">
        <v>96</v>
      </c>
      <c r="C19" s="16" t="s">
        <v>36</v>
      </c>
      <c r="D19" s="19" t="n">
        <f aca="false">D15-D16-D17-D18</f>
        <v>0</v>
      </c>
      <c r="E19" s="19" t="n">
        <f aca="false">E15-E16-E17-E18</f>
        <v>261512195.121951</v>
      </c>
      <c r="F19" s="19" t="n">
        <f aca="false">F15-F16-F17-F18</f>
        <v>758792341.463414</v>
      </c>
      <c r="G19" s="19" t="n">
        <f aca="false">G15-G16-G17-G18</f>
        <v>1173458103.29268</v>
      </c>
      <c r="H19" s="19" t="n">
        <f aca="false">H15-H16-H17-H18</f>
        <v>1226263717.94085</v>
      </c>
      <c r="I19" s="19" t="n">
        <f aca="false">I15-I16-I17-I18</f>
        <v>1281445585.24819</v>
      </c>
      <c r="J19" s="19" t="n">
        <f aca="false">J15-J16-J17-J18</f>
        <v>1339110636.58436</v>
      </c>
      <c r="K19" s="19" t="n">
        <f aca="false">K15-K16-K17-K18</f>
        <v>1399370615.23066</v>
      </c>
      <c r="L19" s="19" t="n">
        <f aca="false">L15-L16-L17-L18</f>
        <v>1462342292.91604</v>
      </c>
      <c r="M19" s="19" t="n">
        <f aca="false">M15-M16-M17-M18</f>
        <v>1528147696.09726</v>
      </c>
      <c r="N19" s="19" t="n">
        <f aca="false">N15-N16-N17-N18</f>
        <v>1596914342.42163</v>
      </c>
    </row>
    <row r="20" customFormat="false" ht="15" hidden="false" customHeight="true" outlineLevel="0" collapsed="false">
      <c r="B20" s="8" t="s">
        <v>97</v>
      </c>
      <c r="C20" s="16" t="s">
        <v>36</v>
      </c>
      <c r="D20" s="19" t="n">
        <f aca="false">0</f>
        <v>0</v>
      </c>
      <c r="E20" s="19" t="n">
        <f aca="false">'1.Inputs'!$D$20/'1.Inputs'!$D$27</f>
        <v>30000000</v>
      </c>
      <c r="F20" s="19" t="n">
        <f aca="false">'1.Inputs'!$D$20/'1.Inputs'!$D$27</f>
        <v>30000000</v>
      </c>
      <c r="G20" s="19" t="n">
        <f aca="false">'1.Inputs'!$D$20/'1.Inputs'!$D$27</f>
        <v>30000000</v>
      </c>
      <c r="H20" s="19" t="n">
        <f aca="false">'1.Inputs'!$D$20/'1.Inputs'!$D$27</f>
        <v>30000000</v>
      </c>
      <c r="I20" s="19" t="n">
        <f aca="false">'1.Inputs'!$D$20/'1.Inputs'!$D$27</f>
        <v>30000000</v>
      </c>
      <c r="J20" s="19" t="n">
        <f aca="false">'1.Inputs'!$D$20/'1.Inputs'!$D$27</f>
        <v>30000000</v>
      </c>
      <c r="K20" s="19" t="n">
        <f aca="false">'1.Inputs'!$D$20/'1.Inputs'!$D$27</f>
        <v>30000000</v>
      </c>
      <c r="L20" s="19" t="n">
        <f aca="false">'1.Inputs'!$D$20/'1.Inputs'!$D$27</f>
        <v>30000000</v>
      </c>
      <c r="M20" s="19" t="n">
        <f aca="false">'1.Inputs'!$D$20/'1.Inputs'!$D$27</f>
        <v>30000000</v>
      </c>
      <c r="N20" s="19" t="n">
        <f aca="false">'1.Inputs'!$D$20/'1.Inputs'!$D$27</f>
        <v>30000000</v>
      </c>
    </row>
    <row r="21" customFormat="false" ht="15" hidden="false" customHeight="true" outlineLevel="0" collapsed="false">
      <c r="B21" s="8" t="s">
        <v>98</v>
      </c>
      <c r="C21" s="16" t="s">
        <v>36</v>
      </c>
      <c r="D21" s="19" t="n">
        <f aca="false">0</f>
        <v>0</v>
      </c>
      <c r="E21" s="19" t="n">
        <f aca="false">IF(E5&lt;='1.Inputs'!$D$28,'1.Inputs'!$D$23/'1.Inputs'!$D$28,0)</f>
        <v>105000000</v>
      </c>
      <c r="F21" s="19" t="n">
        <f aca="false">IF(F5&lt;='1.Inputs'!$D$28,'1.Inputs'!$D$23/'1.Inputs'!$D$28,0)</f>
        <v>105000000</v>
      </c>
      <c r="G21" s="19" t="n">
        <f aca="false">IF(G5&lt;='1.Inputs'!$D$28,'1.Inputs'!$D$23/'1.Inputs'!$D$28,0)</f>
        <v>105000000</v>
      </c>
      <c r="H21" s="19" t="n">
        <f aca="false">IF(H5&lt;='1.Inputs'!$D$28,'1.Inputs'!$D$23/'1.Inputs'!$D$28,0)</f>
        <v>105000000</v>
      </c>
      <c r="I21" s="19" t="n">
        <f aca="false">IF(I5&lt;='1.Inputs'!$D$28,'1.Inputs'!$D$23/'1.Inputs'!$D$28,0)</f>
        <v>105000000</v>
      </c>
      <c r="J21" s="19" t="n">
        <f aca="false">IF(J5&lt;='1.Inputs'!$D$28,'1.Inputs'!$D$23/'1.Inputs'!$D$28,0)</f>
        <v>105000000</v>
      </c>
      <c r="K21" s="19" t="n">
        <f aca="false">IF(K5&lt;='1.Inputs'!$D$28,'1.Inputs'!$D$23/'1.Inputs'!$D$28,0)</f>
        <v>105000000</v>
      </c>
      <c r="L21" s="19" t="n">
        <f aca="false">IF(L5&lt;='1.Inputs'!$D$28,'1.Inputs'!$D$23/'1.Inputs'!$D$28,0)</f>
        <v>105000000</v>
      </c>
      <c r="M21" s="19" t="n">
        <f aca="false">IF(M5&lt;='1.Inputs'!$D$28,'1.Inputs'!$D$23/'1.Inputs'!$D$28,0)</f>
        <v>105000000</v>
      </c>
      <c r="N21" s="19" t="n">
        <f aca="false">IF(N5&lt;='1.Inputs'!$D$28,'1.Inputs'!$D$23/'1.Inputs'!$D$28,0)</f>
        <v>105000000</v>
      </c>
    </row>
    <row r="22" customFormat="false" ht="15" hidden="false" customHeight="true" outlineLevel="0" collapsed="false">
      <c r="B22" s="4" t="s">
        <v>99</v>
      </c>
      <c r="C22" s="16" t="s">
        <v>36</v>
      </c>
      <c r="D22" s="19" t="n">
        <f aca="false">D19-D20-D21</f>
        <v>0</v>
      </c>
      <c r="E22" s="19" t="n">
        <f aca="false">E19-E20-E21</f>
        <v>126512195.121951</v>
      </c>
      <c r="F22" s="19" t="n">
        <f aca="false">F19-F20-F21</f>
        <v>623792341.463414</v>
      </c>
      <c r="G22" s="19" t="n">
        <f aca="false">G19-G20-G21</f>
        <v>1038458103.29268</v>
      </c>
      <c r="H22" s="19" t="n">
        <f aca="false">H19-H20-H21</f>
        <v>1091263717.94085</v>
      </c>
      <c r="I22" s="19" t="n">
        <f aca="false">I19-I20-I21</f>
        <v>1146445585.24819</v>
      </c>
      <c r="J22" s="19" t="n">
        <f aca="false">J19-J20-J21</f>
        <v>1204110636.58436</v>
      </c>
      <c r="K22" s="19" t="n">
        <f aca="false">K19-K20-K21</f>
        <v>1264370615.23066</v>
      </c>
      <c r="L22" s="19" t="n">
        <f aca="false">L19-L20-L21</f>
        <v>1327342292.91604</v>
      </c>
      <c r="M22" s="19" t="n">
        <f aca="false">M19-M20-M21</f>
        <v>1393147696.09726</v>
      </c>
      <c r="N22" s="19" t="n">
        <f aca="false">N19-N20-N21</f>
        <v>1461914342.42163</v>
      </c>
    </row>
    <row r="23" customFormat="false" ht="15" hidden="false" customHeight="true" outlineLevel="0" collapsed="false">
      <c r="B23" s="8" t="s">
        <v>100</v>
      </c>
      <c r="C23" s="16" t="s">
        <v>36</v>
      </c>
      <c r="D23" s="19" t="n">
        <f aca="false">D47</f>
        <v>0</v>
      </c>
      <c r="E23" s="19" t="n">
        <f aca="false">E47</f>
        <v>147600000</v>
      </c>
      <c r="F23" s="19" t="n">
        <f aca="false">F47</f>
        <v>147600000</v>
      </c>
      <c r="G23" s="19" t="n">
        <f aca="false">G47</f>
        <v>147600000</v>
      </c>
      <c r="H23" s="19" t="n">
        <f aca="false">H47</f>
        <v>118080000</v>
      </c>
      <c r="I23" s="19" t="n">
        <f aca="false">I47</f>
        <v>88560000</v>
      </c>
      <c r="J23" s="19" t="n">
        <f aca="false">J47</f>
        <v>59040000</v>
      </c>
      <c r="K23" s="19" t="n">
        <f aca="false">K47</f>
        <v>29520000</v>
      </c>
      <c r="L23" s="19" t="n">
        <f aca="false">L47</f>
        <v>0</v>
      </c>
      <c r="M23" s="19" t="n">
        <f aca="false">M47</f>
        <v>0</v>
      </c>
      <c r="N23" s="19" t="n">
        <f aca="false">N47</f>
        <v>0</v>
      </c>
    </row>
    <row r="24" customFormat="false" ht="15" hidden="false" customHeight="true" outlineLevel="0" collapsed="false">
      <c r="B24" s="8" t="s">
        <v>101</v>
      </c>
      <c r="C24" s="16" t="s">
        <v>36</v>
      </c>
      <c r="D24" s="19" t="n">
        <f aca="false">D22-D23</f>
        <v>0</v>
      </c>
      <c r="E24" s="19" t="n">
        <f aca="false">E22-E23</f>
        <v>-21087804.8780489</v>
      </c>
      <c r="F24" s="19" t="n">
        <f aca="false">F22-F23</f>
        <v>476192341.463414</v>
      </c>
      <c r="G24" s="19" t="n">
        <f aca="false">G22-G23</f>
        <v>890858103.292683</v>
      </c>
      <c r="H24" s="19" t="n">
        <f aca="false">H22-H23</f>
        <v>973183717.940854</v>
      </c>
      <c r="I24" s="19" t="n">
        <f aca="false">I22-I23</f>
        <v>1057885585.24819</v>
      </c>
      <c r="J24" s="19" t="n">
        <f aca="false">J22-J23</f>
        <v>1145070636.58436</v>
      </c>
      <c r="K24" s="19" t="n">
        <f aca="false">K22-K23</f>
        <v>1234850615.23066</v>
      </c>
      <c r="L24" s="19" t="n">
        <f aca="false">L22-L23</f>
        <v>1327342292.91604</v>
      </c>
      <c r="M24" s="19" t="n">
        <f aca="false">M22-M23</f>
        <v>1393147696.09726</v>
      </c>
      <c r="N24" s="19" t="n">
        <f aca="false">N22-N23</f>
        <v>1461914342.42163</v>
      </c>
    </row>
    <row r="25" customFormat="false" ht="15" hidden="false" customHeight="true" outlineLevel="0" collapsed="false">
      <c r="B25" s="8" t="s">
        <v>102</v>
      </c>
      <c r="C25" s="16" t="s">
        <v>36</v>
      </c>
      <c r="D25" s="19" t="n">
        <f aca="false">0</f>
        <v>0</v>
      </c>
      <c r="E25" s="19" t="n">
        <f aca="false">D27</f>
        <v>0</v>
      </c>
      <c r="F25" s="19" t="n">
        <f aca="false">E27</f>
        <v>21087804.8780489</v>
      </c>
      <c r="G25" s="19" t="n">
        <f aca="false">F27</f>
        <v>0</v>
      </c>
      <c r="H25" s="19" t="n">
        <f aca="false">G27</f>
        <v>0</v>
      </c>
      <c r="I25" s="19" t="n">
        <f aca="false">H27</f>
        <v>0</v>
      </c>
      <c r="J25" s="19" t="n">
        <f aca="false">I27</f>
        <v>0</v>
      </c>
      <c r="K25" s="19" t="n">
        <f aca="false">J27</f>
        <v>0</v>
      </c>
      <c r="L25" s="19" t="n">
        <f aca="false">K27</f>
        <v>0</v>
      </c>
      <c r="M25" s="19" t="n">
        <f aca="false">L27</f>
        <v>0</v>
      </c>
      <c r="N25" s="19" t="n">
        <f aca="false">M27</f>
        <v>0</v>
      </c>
    </row>
    <row r="26" customFormat="false" ht="15" hidden="false" customHeight="true" outlineLevel="0" collapsed="false">
      <c r="B26" s="8" t="s">
        <v>103</v>
      </c>
      <c r="C26" s="16" t="s">
        <v>36</v>
      </c>
      <c r="D26" s="19" t="n">
        <f aca="false">MIN(D25,MAX(0,D24))</f>
        <v>0</v>
      </c>
      <c r="E26" s="19" t="n">
        <f aca="false">MIN(E25,MAX(0,E24))</f>
        <v>0</v>
      </c>
      <c r="F26" s="19" t="n">
        <f aca="false">MIN(F25,MAX(0,F24))</f>
        <v>21087804.8780489</v>
      </c>
      <c r="G26" s="19" t="n">
        <f aca="false">MIN(G25,MAX(0,G24))</f>
        <v>0</v>
      </c>
      <c r="H26" s="19" t="n">
        <f aca="false">MIN(H25,MAX(0,H24))</f>
        <v>0</v>
      </c>
      <c r="I26" s="19" t="n">
        <f aca="false">MIN(I25,MAX(0,I24))</f>
        <v>0</v>
      </c>
      <c r="J26" s="19" t="n">
        <f aca="false">MIN(J25,MAX(0,J24))</f>
        <v>0</v>
      </c>
      <c r="K26" s="19" t="n">
        <f aca="false">MIN(K25,MAX(0,K24))</f>
        <v>0</v>
      </c>
      <c r="L26" s="19" t="n">
        <f aca="false">MIN(L25,MAX(0,L24))</f>
        <v>0</v>
      </c>
      <c r="M26" s="19" t="n">
        <f aca="false">MIN(M25,MAX(0,M24))</f>
        <v>0</v>
      </c>
      <c r="N26" s="19" t="n">
        <f aca="false">MIN(N25,MAX(0,N24))</f>
        <v>0</v>
      </c>
    </row>
    <row r="27" customFormat="false" ht="15" hidden="false" customHeight="true" outlineLevel="0" collapsed="false">
      <c r="B27" s="8" t="s">
        <v>104</v>
      </c>
      <c r="C27" s="16" t="s">
        <v>36</v>
      </c>
      <c r="D27" s="19" t="n">
        <f aca="false">D25-D26+MAX(0,-D24)</f>
        <v>0</v>
      </c>
      <c r="E27" s="19" t="n">
        <f aca="false">E25-E26+MAX(0,-E24)</f>
        <v>21087804.8780489</v>
      </c>
      <c r="F27" s="19" t="n">
        <f aca="false">F25-F26+MAX(0,-F24)</f>
        <v>0</v>
      </c>
      <c r="G27" s="19" t="n">
        <f aca="false">G25-G26+MAX(0,-G24)</f>
        <v>0</v>
      </c>
      <c r="H27" s="19" t="n">
        <f aca="false">H25-H26+MAX(0,-H24)</f>
        <v>0</v>
      </c>
      <c r="I27" s="19" t="n">
        <f aca="false">I25-I26+MAX(0,-I24)</f>
        <v>0</v>
      </c>
      <c r="J27" s="19" t="n">
        <f aca="false">J25-J26+MAX(0,-J24)</f>
        <v>0</v>
      </c>
      <c r="K27" s="19" t="n">
        <f aca="false">K25-K26+MAX(0,-K24)</f>
        <v>0</v>
      </c>
      <c r="L27" s="19" t="n">
        <f aca="false">L25-L26+MAX(0,-L24)</f>
        <v>0</v>
      </c>
      <c r="M27" s="19" t="n">
        <f aca="false">M25-M26+MAX(0,-M24)</f>
        <v>0</v>
      </c>
      <c r="N27" s="19" t="n">
        <f aca="false">N25-N26+MAX(0,-N24)</f>
        <v>0</v>
      </c>
    </row>
    <row r="28" customFormat="false" ht="15" hidden="false" customHeight="true" outlineLevel="0" collapsed="false">
      <c r="B28" s="8" t="s">
        <v>105</v>
      </c>
      <c r="C28" s="16" t="s">
        <v>36</v>
      </c>
      <c r="D28" s="19" t="n">
        <f aca="false">(MAX(0,D24)-D26)*'1.Inputs'!$D$53</f>
        <v>0</v>
      </c>
      <c r="E28" s="19" t="n">
        <f aca="false">(MAX(0,E24)-E26)*'1.Inputs'!$D$53</f>
        <v>0</v>
      </c>
      <c r="F28" s="19" t="n">
        <f aca="false">(MAX(0,F24)-F26)*'1.Inputs'!$D$53</f>
        <v>159286587.804878</v>
      </c>
      <c r="G28" s="19" t="n">
        <f aca="false">(MAX(0,G24)-G26)*'1.Inputs'!$D$53</f>
        <v>311800336.152439</v>
      </c>
      <c r="H28" s="19" t="n">
        <f aca="false">(MAX(0,H24)-H26)*'1.Inputs'!$D$53</f>
        <v>340614301.279299</v>
      </c>
      <c r="I28" s="19" t="n">
        <f aca="false">(MAX(0,I24)-I26)*'1.Inputs'!$D$53</f>
        <v>370259954.836867</v>
      </c>
      <c r="J28" s="19" t="n">
        <f aca="false">(MAX(0,J24)-J26)*'1.Inputs'!$D$53</f>
        <v>400774722.804526</v>
      </c>
      <c r="K28" s="19" t="n">
        <f aca="false">(MAX(0,K24)-K26)*'1.Inputs'!$D$53</f>
        <v>432197715.33073</v>
      </c>
      <c r="L28" s="19" t="n">
        <f aca="false">(MAX(0,L24)-L26)*'1.Inputs'!$D$53</f>
        <v>464569802.520612</v>
      </c>
      <c r="M28" s="19" t="n">
        <f aca="false">(MAX(0,M24)-M26)*'1.Inputs'!$D$53</f>
        <v>487601693.634041</v>
      </c>
      <c r="N28" s="19" t="n">
        <f aca="false">(MAX(0,N24)-N26)*'1.Inputs'!$D$53</f>
        <v>511670019.847571</v>
      </c>
    </row>
    <row r="29" customFormat="false" ht="15" hidden="false" customHeight="true" outlineLevel="0" collapsed="false">
      <c r="B29" s="4" t="s">
        <v>106</v>
      </c>
      <c r="C29" s="16" t="s">
        <v>36</v>
      </c>
      <c r="D29" s="19" t="n">
        <f aca="false">D24-D28</f>
        <v>0</v>
      </c>
      <c r="E29" s="19" t="n">
        <f aca="false">E24-E28</f>
        <v>-21087804.8780489</v>
      </c>
      <c r="F29" s="19" t="n">
        <f aca="false">F24-F28</f>
        <v>316905753.658536</v>
      </c>
      <c r="G29" s="19" t="n">
        <f aca="false">G24-G28</f>
        <v>579057767.140244</v>
      </c>
      <c r="H29" s="19" t="n">
        <f aca="false">H24-H28</f>
        <v>632569416.661555</v>
      </c>
      <c r="I29" s="19" t="n">
        <f aca="false">I24-I28</f>
        <v>687625630.411325</v>
      </c>
      <c r="J29" s="19" t="n">
        <f aca="false">J24-J28</f>
        <v>744295913.779834</v>
      </c>
      <c r="K29" s="19" t="n">
        <f aca="false">K24-K28</f>
        <v>802652899.899927</v>
      </c>
      <c r="L29" s="19" t="n">
        <f aca="false">L24-L28</f>
        <v>862772490.395423</v>
      </c>
      <c r="M29" s="19" t="n">
        <f aca="false">M24-M28</f>
        <v>905546002.463219</v>
      </c>
      <c r="N29" s="19" t="n">
        <f aca="false">N24-N28</f>
        <v>950244322.574061</v>
      </c>
    </row>
    <row r="30" customFormat="false" ht="15" hidden="false" customHeight="true" outlineLevel="0" collapsed="false">
      <c r="B30" s="8" t="s">
        <v>107</v>
      </c>
      <c r="C30" s="16" t="s">
        <v>36</v>
      </c>
      <c r="D30" s="19" t="n">
        <f aca="false">0</f>
        <v>0</v>
      </c>
      <c r="E30" s="19" t="n">
        <f aca="false">MIN(MAX(0,E29)*'1.Inputs'!$D$50,MAX(0,D60))</f>
        <v>0</v>
      </c>
      <c r="F30" s="19" t="n">
        <f aca="false">MIN(MAX(0,F29)*'1.Inputs'!$D$50,MAX(0,E60))</f>
        <v>95071726.0975609</v>
      </c>
      <c r="G30" s="19" t="n">
        <f aca="false">MIN(MAX(0,G29)*'1.Inputs'!$D$50,MAX(0,F60))</f>
        <v>173717330.142073</v>
      </c>
      <c r="H30" s="19" t="n">
        <f aca="false">MIN(MAX(0,H29)*'1.Inputs'!$D$50,MAX(0,G60))</f>
        <v>189770824.998466</v>
      </c>
      <c r="I30" s="19" t="n">
        <f aca="false">MIN(MAX(0,I29)*'1.Inputs'!$D$50,MAX(0,H60))</f>
        <v>206287689.123398</v>
      </c>
      <c r="J30" s="19" t="n">
        <f aca="false">MIN(MAX(0,J29)*'1.Inputs'!$D$50,MAX(0,I60))</f>
        <v>223288774.13395</v>
      </c>
      <c r="K30" s="19" t="n">
        <f aca="false">MIN(MAX(0,K29)*'1.Inputs'!$D$50,MAX(0,J60))</f>
        <v>240795869.969978</v>
      </c>
      <c r="L30" s="19" t="n">
        <f aca="false">MIN(MAX(0,L29)*'1.Inputs'!$D$50,MAX(0,K60))</f>
        <v>258831747.118627</v>
      </c>
      <c r="M30" s="19" t="n">
        <f aca="false">MIN(MAX(0,M29)*'1.Inputs'!$D$50,MAX(0,L60))</f>
        <v>271663800.738966</v>
      </c>
      <c r="N30" s="19" t="n">
        <f aca="false">MIN(MAX(0,N29)*'1.Inputs'!$D$50,MAX(0,M60))</f>
        <v>285073296.772218</v>
      </c>
    </row>
    <row r="32" customFormat="false" ht="15" hidden="false" customHeight="true" outlineLevel="0" collapsed="false">
      <c r="B32" s="6" t="s">
        <v>108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customFormat="false" ht="15" hidden="false" customHeight="true" outlineLevel="0" collapsed="false">
      <c r="B33" s="8" t="s">
        <v>109</v>
      </c>
      <c r="C33" s="16" t="s">
        <v>36</v>
      </c>
      <c r="D33" s="19" t="n">
        <f aca="false">D15*'1.Inputs'!$D$47/'1.Inputs'!$D$51</f>
        <v>0</v>
      </c>
      <c r="E33" s="19" t="n">
        <f aca="false">E15*'1.Inputs'!$D$47/'1.Inputs'!$D$51</f>
        <v>681000000</v>
      </c>
      <c r="F33" s="19" t="n">
        <f aca="false">F15*'1.Inputs'!$D$47/'1.Inputs'!$D$51</f>
        <v>996303000</v>
      </c>
      <c r="G33" s="19" t="n">
        <f aca="false">G15*'1.Inputs'!$D$47/'1.Inputs'!$D$51</f>
        <v>1264237342.5</v>
      </c>
      <c r="H33" s="19" t="n">
        <f aca="false">H15*'1.Inputs'!$D$47/'1.Inputs'!$D$51</f>
        <v>1321128022.9125</v>
      </c>
      <c r="I33" s="19" t="n">
        <f aca="false">I15*'1.Inputs'!$D$47/'1.Inputs'!$D$51</f>
        <v>1380578783.94356</v>
      </c>
      <c r="J33" s="19" t="n">
        <f aca="false">J15*'1.Inputs'!$D$47/'1.Inputs'!$D$51</f>
        <v>1442704829.22102</v>
      </c>
      <c r="K33" s="19" t="n">
        <f aca="false">K15*'1.Inputs'!$D$47/'1.Inputs'!$D$51</f>
        <v>1507626546.53597</v>
      </c>
      <c r="L33" s="19" t="n">
        <f aca="false">L15*'1.Inputs'!$D$47/'1.Inputs'!$D$51</f>
        <v>1575469741.13009</v>
      </c>
      <c r="M33" s="19" t="n">
        <f aca="false">M15*'1.Inputs'!$D$47/'1.Inputs'!$D$51</f>
        <v>1646365879.48094</v>
      </c>
      <c r="N33" s="19" t="n">
        <f aca="false">N15*'1.Inputs'!$D$47/'1.Inputs'!$D$51</f>
        <v>1720452344.05758</v>
      </c>
    </row>
    <row r="34" customFormat="false" ht="15" hidden="false" customHeight="true" outlineLevel="0" collapsed="false">
      <c r="B34" s="8" t="s">
        <v>110</v>
      </c>
      <c r="C34" s="16" t="s">
        <v>36</v>
      </c>
      <c r="D34" s="19" t="n">
        <f aca="false">D16*'1.Inputs'!$D$48/'1.Inputs'!$D$51</f>
        <v>0</v>
      </c>
      <c r="E34" s="19" t="n">
        <f aca="false">E16*'1.Inputs'!$D$48/'1.Inputs'!$D$51</f>
        <v>347560975.609756</v>
      </c>
      <c r="F34" s="19" t="n">
        <f aca="false">F16*'1.Inputs'!$D$48/'1.Inputs'!$D$51</f>
        <v>508481707.317073</v>
      </c>
      <c r="G34" s="19" t="n">
        <f aca="false">G16*'1.Inputs'!$D$48/'1.Inputs'!$D$51</f>
        <v>645226966.463414</v>
      </c>
      <c r="H34" s="19" t="n">
        <f aca="false">H16*'1.Inputs'!$D$48/'1.Inputs'!$D$51</f>
        <v>674262179.954268</v>
      </c>
      <c r="I34" s="19" t="n">
        <f aca="false">I16*'1.Inputs'!$D$48/'1.Inputs'!$D$51</f>
        <v>704603978.05221</v>
      </c>
      <c r="J34" s="19" t="n">
        <f aca="false">J16*'1.Inputs'!$D$48/'1.Inputs'!$D$51</f>
        <v>736311157.06456</v>
      </c>
      <c r="K34" s="19" t="n">
        <f aca="false">K16*'1.Inputs'!$D$48/'1.Inputs'!$D$51</f>
        <v>769445159.132465</v>
      </c>
      <c r="L34" s="19" t="n">
        <f aca="false">L16*'1.Inputs'!$D$48/'1.Inputs'!$D$51</f>
        <v>804070191.293425</v>
      </c>
      <c r="M34" s="19" t="n">
        <f aca="false">M16*'1.Inputs'!$D$48/'1.Inputs'!$D$51</f>
        <v>840253349.90163</v>
      </c>
      <c r="N34" s="19" t="n">
        <f aca="false">N16*'1.Inputs'!$D$48/'1.Inputs'!$D$51</f>
        <v>878064750.647203</v>
      </c>
    </row>
    <row r="35" customFormat="false" ht="15" hidden="false" customHeight="true" outlineLevel="0" collapsed="false">
      <c r="B35" s="8" t="s">
        <v>111</v>
      </c>
      <c r="C35" s="16" t="s">
        <v>36</v>
      </c>
      <c r="D35" s="19" t="n">
        <f aca="false">D16*'1.Inputs'!$D$49/'1.Inputs'!$D$51</f>
        <v>0</v>
      </c>
      <c r="E35" s="19" t="n">
        <f aca="false">E16*'1.Inputs'!$D$49/'1.Inputs'!$D$51</f>
        <v>231707317.073171</v>
      </c>
      <c r="F35" s="19" t="n">
        <f aca="false">F16*'1.Inputs'!$D$49/'1.Inputs'!$D$51</f>
        <v>338987804.878049</v>
      </c>
      <c r="G35" s="19" t="n">
        <f aca="false">G16*'1.Inputs'!$D$49/'1.Inputs'!$D$51</f>
        <v>430151310.97561</v>
      </c>
      <c r="H35" s="19" t="n">
        <f aca="false">H16*'1.Inputs'!$D$49/'1.Inputs'!$D$51</f>
        <v>449508119.969512</v>
      </c>
      <c r="I35" s="19" t="n">
        <f aca="false">I16*'1.Inputs'!$D$49/'1.Inputs'!$D$51</f>
        <v>469735985.36814</v>
      </c>
      <c r="J35" s="19" t="n">
        <f aca="false">J16*'1.Inputs'!$D$49/'1.Inputs'!$D$51</f>
        <v>490874104.709706</v>
      </c>
      <c r="K35" s="19" t="n">
        <f aca="false">K16*'1.Inputs'!$D$49/'1.Inputs'!$D$51</f>
        <v>512963439.421643</v>
      </c>
      <c r="L35" s="19" t="n">
        <f aca="false">L16*'1.Inputs'!$D$49/'1.Inputs'!$D$51</f>
        <v>536046794.195617</v>
      </c>
      <c r="M35" s="19" t="n">
        <f aca="false">M16*'1.Inputs'!$D$49/'1.Inputs'!$D$51</f>
        <v>560168899.93442</v>
      </c>
      <c r="N35" s="19" t="n">
        <f aca="false">N16*'1.Inputs'!$D$49/'1.Inputs'!$D$51</f>
        <v>585376500.431469</v>
      </c>
    </row>
    <row r="36" customFormat="false" ht="15" hidden="false" customHeight="true" outlineLevel="0" collapsed="false">
      <c r="B36" s="8" t="s">
        <v>112</v>
      </c>
      <c r="C36" s="16" t="s">
        <v>36</v>
      </c>
      <c r="D36" s="19" t="n">
        <f aca="false">D28</f>
        <v>0</v>
      </c>
      <c r="E36" s="19" t="n">
        <f aca="false">E28</f>
        <v>0</v>
      </c>
      <c r="F36" s="19" t="n">
        <f aca="false">F28</f>
        <v>159286587.804878</v>
      </c>
      <c r="G36" s="19" t="n">
        <f aca="false">G28</f>
        <v>311800336.152439</v>
      </c>
      <c r="H36" s="19" t="n">
        <f aca="false">H28</f>
        <v>340614301.279299</v>
      </c>
      <c r="I36" s="19" t="n">
        <f aca="false">I28</f>
        <v>370259954.836867</v>
      </c>
      <c r="J36" s="19" t="n">
        <f aca="false">J28</f>
        <v>400774722.804526</v>
      </c>
      <c r="K36" s="19" t="n">
        <f aca="false">K28</f>
        <v>432197715.33073</v>
      </c>
      <c r="L36" s="19" t="n">
        <f aca="false">L28</f>
        <v>464569802.520612</v>
      </c>
      <c r="M36" s="19" t="n">
        <f aca="false">M28</f>
        <v>487601693.634041</v>
      </c>
      <c r="N36" s="19" t="n">
        <f aca="false">N28</f>
        <v>511670019.847571</v>
      </c>
    </row>
    <row r="37" customFormat="false" ht="15" hidden="false" customHeight="true" outlineLevel="0" collapsed="false">
      <c r="B37" s="8" t="s">
        <v>113</v>
      </c>
      <c r="C37" s="16" t="s">
        <v>36</v>
      </c>
      <c r="D37" s="19" t="n">
        <f aca="false">D30</f>
        <v>0</v>
      </c>
      <c r="E37" s="19" t="n">
        <f aca="false">E30</f>
        <v>0</v>
      </c>
      <c r="F37" s="19" t="n">
        <f aca="false">F30</f>
        <v>95071726.0975609</v>
      </c>
      <c r="G37" s="19" t="n">
        <f aca="false">G30</f>
        <v>173717330.142073</v>
      </c>
      <c r="H37" s="19" t="n">
        <f aca="false">H30</f>
        <v>189770824.998466</v>
      </c>
      <c r="I37" s="19" t="n">
        <f aca="false">I30</f>
        <v>206287689.123398</v>
      </c>
      <c r="J37" s="19" t="n">
        <f aca="false">J30</f>
        <v>223288774.13395</v>
      </c>
      <c r="K37" s="19" t="n">
        <f aca="false">K30</f>
        <v>240795869.969978</v>
      </c>
      <c r="L37" s="19" t="n">
        <f aca="false">L30</f>
        <v>258831747.118627</v>
      </c>
      <c r="M37" s="19" t="n">
        <f aca="false">M30</f>
        <v>271663800.738966</v>
      </c>
      <c r="N37" s="19" t="n">
        <f aca="false">N30</f>
        <v>285073296.772218</v>
      </c>
    </row>
    <row r="38" customFormat="false" ht="15" hidden="false" customHeight="true" outlineLevel="0" collapsed="false">
      <c r="B38" s="8" t="s">
        <v>114</v>
      </c>
      <c r="C38" s="16" t="s">
        <v>36</v>
      </c>
      <c r="D38" s="19" t="n">
        <f aca="false">D33+D34-D35</f>
        <v>0</v>
      </c>
      <c r="E38" s="19" t="n">
        <f aca="false">E33+E34-E35</f>
        <v>796853658.536585</v>
      </c>
      <c r="F38" s="19" t="n">
        <f aca="false">F33+F34-F35</f>
        <v>1165796902.43902</v>
      </c>
      <c r="G38" s="19" t="n">
        <f aca="false">G33+G34-G35</f>
        <v>1479312997.9878</v>
      </c>
      <c r="H38" s="19" t="n">
        <f aca="false">H33+H34-H35</f>
        <v>1545882082.89726</v>
      </c>
      <c r="I38" s="19" t="n">
        <f aca="false">I33+I34-I35</f>
        <v>1615446776.62763</v>
      </c>
      <c r="J38" s="19" t="n">
        <f aca="false">J33+J34-J35</f>
        <v>1688141881.57588</v>
      </c>
      <c r="K38" s="19" t="n">
        <f aca="false">K33+K34-K35</f>
        <v>1764108266.24679</v>
      </c>
      <c r="L38" s="19" t="n">
        <f aca="false">L33+L34-L35</f>
        <v>1843493138.2279</v>
      </c>
      <c r="M38" s="19" t="n">
        <f aca="false">M33+M34-M35</f>
        <v>1926450329.44815</v>
      </c>
      <c r="N38" s="19" t="n">
        <f aca="false">N33+N34-N35</f>
        <v>2013140594.27332</v>
      </c>
    </row>
    <row r="39" customFormat="false" ht="15" hidden="false" customHeight="true" outlineLevel="0" collapsed="false">
      <c r="B39" s="6" t="s">
        <v>115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</row>
    <row r="40" customFormat="false" ht="15" hidden="false" customHeight="true" outlineLevel="0" collapsed="false">
      <c r="B40" s="8" t="s">
        <v>116</v>
      </c>
      <c r="C40" s="16" t="s">
        <v>36</v>
      </c>
      <c r="D40" s="19" t="n">
        <f aca="false">D29</f>
        <v>0</v>
      </c>
      <c r="E40" s="19" t="n">
        <f aca="false">E29</f>
        <v>-21087804.8780489</v>
      </c>
      <c r="F40" s="19" t="n">
        <f aca="false">F29</f>
        <v>316905753.658536</v>
      </c>
      <c r="G40" s="19" t="n">
        <f aca="false">G29</f>
        <v>579057767.140244</v>
      </c>
      <c r="H40" s="19" t="n">
        <f aca="false">H29</f>
        <v>632569416.661555</v>
      </c>
      <c r="I40" s="19" t="n">
        <f aca="false">I29</f>
        <v>687625630.411325</v>
      </c>
      <c r="J40" s="19" t="n">
        <f aca="false">J29</f>
        <v>744295913.779834</v>
      </c>
      <c r="K40" s="19" t="n">
        <f aca="false">K29</f>
        <v>802652899.899927</v>
      </c>
      <c r="L40" s="19" t="n">
        <f aca="false">L29</f>
        <v>862772490.395423</v>
      </c>
      <c r="M40" s="19" t="n">
        <f aca="false">M29</f>
        <v>905546002.463219</v>
      </c>
      <c r="N40" s="19" t="n">
        <f aca="false">N29</f>
        <v>950244322.574061</v>
      </c>
    </row>
    <row r="41" customFormat="false" ht="15" hidden="false" customHeight="true" outlineLevel="0" collapsed="false">
      <c r="B41" s="8" t="s">
        <v>117</v>
      </c>
      <c r="C41" s="16" t="s">
        <v>36</v>
      </c>
      <c r="D41" s="19" t="n">
        <f aca="false">D20+D21</f>
        <v>0</v>
      </c>
      <c r="E41" s="19" t="n">
        <f aca="false">E20+E21</f>
        <v>135000000</v>
      </c>
      <c r="F41" s="19" t="n">
        <f aca="false">F20+F21</f>
        <v>135000000</v>
      </c>
      <c r="G41" s="19" t="n">
        <f aca="false">G20+G21</f>
        <v>135000000</v>
      </c>
      <c r="H41" s="19" t="n">
        <f aca="false">H20+H21</f>
        <v>135000000</v>
      </c>
      <c r="I41" s="19" t="n">
        <f aca="false">I20+I21</f>
        <v>135000000</v>
      </c>
      <c r="J41" s="19" t="n">
        <f aca="false">J20+J21</f>
        <v>135000000</v>
      </c>
      <c r="K41" s="19" t="n">
        <f aca="false">K20+K21</f>
        <v>135000000</v>
      </c>
      <c r="L41" s="19" t="n">
        <f aca="false">L20+L21</f>
        <v>135000000</v>
      </c>
      <c r="M41" s="19" t="n">
        <f aca="false">M20+M21</f>
        <v>135000000</v>
      </c>
      <c r="N41" s="19" t="n">
        <f aca="false">N20+N21</f>
        <v>135000000</v>
      </c>
    </row>
    <row r="42" customFormat="false" ht="15" hidden="false" customHeight="true" outlineLevel="0" collapsed="false">
      <c r="B42" s="8" t="s">
        <v>118</v>
      </c>
      <c r="C42" s="16" t="s">
        <v>36</v>
      </c>
      <c r="D42" s="19" t="n">
        <f aca="false">-D33</f>
        <v>-0</v>
      </c>
      <c r="E42" s="19" t="n">
        <f aca="false">-(E33-D33)</f>
        <v>-681000000</v>
      </c>
      <c r="F42" s="19" t="n">
        <f aca="false">-(F33-E33)</f>
        <v>-315303000</v>
      </c>
      <c r="G42" s="19" t="n">
        <f aca="false">-(G33-F33)</f>
        <v>-267934342.5</v>
      </c>
      <c r="H42" s="19" t="n">
        <f aca="false">-(H33-G33)</f>
        <v>-56890680.4124999</v>
      </c>
      <c r="I42" s="19" t="n">
        <f aca="false">-(I33-H33)</f>
        <v>-59450761.0310624</v>
      </c>
      <c r="J42" s="19" t="n">
        <f aca="false">-(J33-I33)</f>
        <v>-62126045.2774601</v>
      </c>
      <c r="K42" s="19" t="n">
        <f aca="false">-(K33-J33)</f>
        <v>-64921717.3149464</v>
      </c>
      <c r="L42" s="19" t="n">
        <f aca="false">-(L33-K33)</f>
        <v>-67843194.5941181</v>
      </c>
      <c r="M42" s="19" t="n">
        <f aca="false">-(M33-L33)</f>
        <v>-70896138.3508542</v>
      </c>
      <c r="N42" s="19" t="n">
        <f aca="false">-(N33-M33)</f>
        <v>-74086464.5766418</v>
      </c>
    </row>
    <row r="43" customFormat="false" ht="15" hidden="false" customHeight="true" outlineLevel="0" collapsed="false">
      <c r="B43" s="8" t="s">
        <v>119</v>
      </c>
      <c r="C43" s="16" t="s">
        <v>36</v>
      </c>
      <c r="D43" s="19" t="n">
        <f aca="false">-D34</f>
        <v>-0</v>
      </c>
      <c r="E43" s="19" t="n">
        <f aca="false">-(E34-D34)</f>
        <v>-347560975.609756</v>
      </c>
      <c r="F43" s="19" t="n">
        <f aca="false">-(F34-E34)</f>
        <v>-160920731.707317</v>
      </c>
      <c r="G43" s="19" t="n">
        <f aca="false">-(G34-F34)</f>
        <v>-136745259.146341</v>
      </c>
      <c r="H43" s="19" t="n">
        <f aca="false">-(H34-G34)</f>
        <v>-29035213.4908537</v>
      </c>
      <c r="I43" s="19" t="n">
        <f aca="false">-(I34-H34)</f>
        <v>-30341798.097942</v>
      </c>
      <c r="J43" s="19" t="n">
        <f aca="false">-(J34-I34)</f>
        <v>-31707179.0123495</v>
      </c>
      <c r="K43" s="19" t="n">
        <f aca="false">-(K34-J34)</f>
        <v>-33134002.0679052</v>
      </c>
      <c r="L43" s="19" t="n">
        <f aca="false">-(L34-K34)</f>
        <v>-34625032.1609607</v>
      </c>
      <c r="M43" s="19" t="n">
        <f aca="false">-(M34-L34)</f>
        <v>-36183158.6082042</v>
      </c>
      <c r="N43" s="19" t="n">
        <f aca="false">-(N34-M34)</f>
        <v>-37811400.7455732</v>
      </c>
    </row>
    <row r="44" customFormat="false" ht="15" hidden="false" customHeight="true" outlineLevel="0" collapsed="false">
      <c r="B44" s="8" t="s">
        <v>120</v>
      </c>
      <c r="C44" s="16" t="s">
        <v>36</v>
      </c>
      <c r="D44" s="19" t="n">
        <f aca="false">D35</f>
        <v>0</v>
      </c>
      <c r="E44" s="19" t="n">
        <f aca="false">E35-D35</f>
        <v>231707317.073171</v>
      </c>
      <c r="F44" s="19" t="n">
        <f aca="false">F35-E35</f>
        <v>107280487.804878</v>
      </c>
      <c r="G44" s="19" t="n">
        <f aca="false">G35-F35</f>
        <v>91163506.0975608</v>
      </c>
      <c r="H44" s="19" t="n">
        <f aca="false">H35-G35</f>
        <v>19356808.9939025</v>
      </c>
      <c r="I44" s="19" t="n">
        <f aca="false">I35-H35</f>
        <v>20227865.398628</v>
      </c>
      <c r="J44" s="19" t="n">
        <f aca="false">J35-I35</f>
        <v>21138119.3415663</v>
      </c>
      <c r="K44" s="19" t="n">
        <f aca="false">K35-J35</f>
        <v>22089334.7119368</v>
      </c>
      <c r="L44" s="19" t="n">
        <f aca="false">L35-K35</f>
        <v>23083354.7739739</v>
      </c>
      <c r="M44" s="19" t="n">
        <f aca="false">M35-L35</f>
        <v>24122105.7388027</v>
      </c>
      <c r="N44" s="19" t="n">
        <f aca="false">N35-M35</f>
        <v>25207600.4970489</v>
      </c>
    </row>
    <row r="45" customFormat="false" ht="15" hidden="false" customHeight="true" outlineLevel="0" collapsed="false">
      <c r="B45" s="8" t="s">
        <v>121</v>
      </c>
      <c r="C45" s="16" t="s">
        <v>36</v>
      </c>
      <c r="D45" s="19" t="n">
        <f aca="false">D36</f>
        <v>0</v>
      </c>
      <c r="E45" s="19" t="n">
        <f aca="false">E36-D36</f>
        <v>0</v>
      </c>
      <c r="F45" s="19" t="n">
        <f aca="false">F36-E36</f>
        <v>159286587.804878</v>
      </c>
      <c r="G45" s="19" t="n">
        <f aca="false">G36-F36</f>
        <v>152513748.347561</v>
      </c>
      <c r="H45" s="19" t="n">
        <f aca="false">H36-G36</f>
        <v>28813965.1268598</v>
      </c>
      <c r="I45" s="19" t="n">
        <f aca="false">I36-H36</f>
        <v>29645653.5575687</v>
      </c>
      <c r="J45" s="19" t="n">
        <f aca="false">J36-I36</f>
        <v>30514767.9676586</v>
      </c>
      <c r="K45" s="19" t="n">
        <f aca="false">K36-J36</f>
        <v>31422992.526204</v>
      </c>
      <c r="L45" s="19" t="n">
        <f aca="false">L36-K36</f>
        <v>32372087.1898823</v>
      </c>
      <c r="M45" s="19" t="n">
        <f aca="false">M36-L36</f>
        <v>23031891.1134284</v>
      </c>
      <c r="N45" s="19" t="n">
        <f aca="false">N36-M36</f>
        <v>24068326.2135305</v>
      </c>
    </row>
    <row r="46" customFormat="false" ht="15" hidden="false" customHeight="true" outlineLevel="0" collapsed="false">
      <c r="B46" s="8" t="s">
        <v>122</v>
      </c>
      <c r="C46" s="16" t="s">
        <v>36</v>
      </c>
      <c r="D46" s="19" t="n">
        <f aca="false">0</f>
        <v>0</v>
      </c>
      <c r="E46" s="19" t="n">
        <f aca="false">-D37</f>
        <v>-0</v>
      </c>
      <c r="F46" s="19" t="n">
        <f aca="false">-E37</f>
        <v>-0</v>
      </c>
      <c r="G46" s="19" t="n">
        <f aca="false">-F37</f>
        <v>-95071726.0975609</v>
      </c>
      <c r="H46" s="19" t="n">
        <f aca="false">-G37</f>
        <v>-173717330.142073</v>
      </c>
      <c r="I46" s="19" t="n">
        <f aca="false">-H37</f>
        <v>-189770824.998466</v>
      </c>
      <c r="J46" s="19" t="n">
        <f aca="false">-I37</f>
        <v>-206287689.123398</v>
      </c>
      <c r="K46" s="19" t="n">
        <f aca="false">-J37</f>
        <v>-223288774.13395</v>
      </c>
      <c r="L46" s="19" t="n">
        <f aca="false">-K37</f>
        <v>-240795869.969978</v>
      </c>
      <c r="M46" s="19" t="n">
        <f aca="false">-L37</f>
        <v>-258831747.118627</v>
      </c>
      <c r="N46" s="19" t="n">
        <f aca="false">-M37</f>
        <v>-271663800.738966</v>
      </c>
    </row>
    <row r="47" customFormat="false" ht="15" hidden="false" customHeight="true" outlineLevel="0" collapsed="false">
      <c r="B47" s="8" t="s">
        <v>123</v>
      </c>
      <c r="C47" s="16" t="s">
        <v>36</v>
      </c>
      <c r="D47" s="19" t="n">
        <f aca="false">0</f>
        <v>0</v>
      </c>
      <c r="E47" s="19" t="n">
        <f aca="false">E55*'1.Inputs'!$D$32</f>
        <v>147600000</v>
      </c>
      <c r="F47" s="19" t="n">
        <f aca="false">F55*'1.Inputs'!$D$32</f>
        <v>147600000</v>
      </c>
      <c r="G47" s="19" t="n">
        <f aca="false">G55*'1.Inputs'!$D$32</f>
        <v>147600000</v>
      </c>
      <c r="H47" s="19" t="n">
        <f aca="false">H55*'1.Inputs'!$D$32</f>
        <v>118080000</v>
      </c>
      <c r="I47" s="19" t="n">
        <f aca="false">I55*'1.Inputs'!$D$32</f>
        <v>88560000</v>
      </c>
      <c r="J47" s="19" t="n">
        <f aca="false">J55*'1.Inputs'!$D$32</f>
        <v>59040000</v>
      </c>
      <c r="K47" s="19" t="n">
        <f aca="false">K55*'1.Inputs'!$D$32</f>
        <v>29520000</v>
      </c>
      <c r="L47" s="19" t="n">
        <f aca="false">L55*'1.Inputs'!$D$32</f>
        <v>0</v>
      </c>
      <c r="M47" s="19" t="n">
        <f aca="false">M55*'1.Inputs'!$D$32</f>
        <v>0</v>
      </c>
      <c r="N47" s="19" t="n">
        <f aca="false">N55*'1.Inputs'!$D$32</f>
        <v>0</v>
      </c>
    </row>
    <row r="48" customFormat="false" ht="15" hidden="false" customHeight="true" outlineLevel="0" collapsed="false">
      <c r="B48" s="8" t="s">
        <v>124</v>
      </c>
      <c r="C48" s="16" t="s">
        <v>36</v>
      </c>
      <c r="D48" s="27" t="n">
        <f aca="false">-'1.Inputs'!$D$24</f>
        <v>-2050000000</v>
      </c>
      <c r="E48" s="19" t="n">
        <f aca="false">0</f>
        <v>0</v>
      </c>
      <c r="F48" s="19" t="n">
        <f aca="false">0</f>
        <v>0</v>
      </c>
      <c r="G48" s="19" t="n">
        <f aca="false">0</f>
        <v>0</v>
      </c>
      <c r="H48" s="19" t="n">
        <f aca="false">0</f>
        <v>0</v>
      </c>
      <c r="I48" s="19" t="n">
        <f aca="false">0</f>
        <v>0</v>
      </c>
      <c r="J48" s="19" t="n">
        <f aca="false">0</f>
        <v>0</v>
      </c>
      <c r="K48" s="19" t="n">
        <f aca="false">0</f>
        <v>0</v>
      </c>
      <c r="L48" s="19" t="n">
        <f aca="false">0</f>
        <v>0</v>
      </c>
      <c r="M48" s="19" t="n">
        <f aca="false">0</f>
        <v>0</v>
      </c>
      <c r="N48" s="19" t="n">
        <f aca="false">0</f>
        <v>0</v>
      </c>
    </row>
    <row r="49" customFormat="false" ht="15" hidden="false" customHeight="true" outlineLevel="0" collapsed="false">
      <c r="B49" s="8" t="s">
        <v>125</v>
      </c>
      <c r="C49" s="16" t="s">
        <v>36</v>
      </c>
      <c r="D49" s="27" t="n">
        <f aca="false">'1.Inputs'!$D$24*'1.Inputs'!$D$31</f>
        <v>1230000000</v>
      </c>
      <c r="E49" s="19" t="n">
        <f aca="false">0</f>
        <v>0</v>
      </c>
      <c r="F49" s="19" t="n">
        <f aca="false">0</f>
        <v>0</v>
      </c>
      <c r="G49" s="19" t="n">
        <f aca="false">0</f>
        <v>0</v>
      </c>
      <c r="H49" s="19" t="n">
        <f aca="false">0</f>
        <v>0</v>
      </c>
      <c r="I49" s="19" t="n">
        <f aca="false">0</f>
        <v>0</v>
      </c>
      <c r="J49" s="19" t="n">
        <f aca="false">0</f>
        <v>0</v>
      </c>
      <c r="K49" s="19" t="n">
        <f aca="false">0</f>
        <v>0</v>
      </c>
      <c r="L49" s="19" t="n">
        <f aca="false">0</f>
        <v>0</v>
      </c>
      <c r="M49" s="19" t="n">
        <f aca="false">0</f>
        <v>0</v>
      </c>
      <c r="N49" s="19" t="n">
        <f aca="false">0</f>
        <v>0</v>
      </c>
    </row>
    <row r="50" customFormat="false" ht="15" hidden="false" customHeight="true" outlineLevel="0" collapsed="false">
      <c r="B50" s="8" t="s">
        <v>126</v>
      </c>
      <c r="C50" s="16" t="s">
        <v>36</v>
      </c>
      <c r="D50" s="19" t="n">
        <f aca="false">-D56</f>
        <v>-0</v>
      </c>
      <c r="E50" s="19" t="n">
        <f aca="false">-E56</f>
        <v>-0</v>
      </c>
      <c r="F50" s="19" t="n">
        <f aca="false">-F56</f>
        <v>-0</v>
      </c>
      <c r="G50" s="19" t="n">
        <f aca="false">-G56</f>
        <v>-246000000</v>
      </c>
      <c r="H50" s="19" t="n">
        <f aca="false">-H56</f>
        <v>-246000000</v>
      </c>
      <c r="I50" s="19" t="n">
        <f aca="false">-I56</f>
        <v>-246000000</v>
      </c>
      <c r="J50" s="19" t="n">
        <f aca="false">-J56</f>
        <v>-246000000</v>
      </c>
      <c r="K50" s="19" t="n">
        <f aca="false">-K56</f>
        <v>-246000000</v>
      </c>
      <c r="L50" s="19" t="n">
        <f aca="false">-L56</f>
        <v>-0</v>
      </c>
      <c r="M50" s="19" t="n">
        <f aca="false">-M56</f>
        <v>-0</v>
      </c>
      <c r="N50" s="19" t="n">
        <f aca="false">-N56</f>
        <v>-0</v>
      </c>
    </row>
    <row r="51" customFormat="false" ht="15" hidden="false" customHeight="true" outlineLevel="0" collapsed="false">
      <c r="B51" s="8" t="s">
        <v>127</v>
      </c>
      <c r="C51" s="16" t="s">
        <v>36</v>
      </c>
      <c r="D51" s="27" t="n">
        <f aca="false">'1.Inputs'!$D$24*(1-'1.Inputs'!$D$31)+'1.Inputs'!$D$35</f>
        <v>1620000000</v>
      </c>
      <c r="E51" s="19" t="n">
        <f aca="false">0</f>
        <v>0</v>
      </c>
      <c r="F51" s="19" t="n">
        <f aca="false">0</f>
        <v>0</v>
      </c>
      <c r="G51" s="19" t="n">
        <f aca="false">0</f>
        <v>0</v>
      </c>
      <c r="H51" s="19" t="n">
        <f aca="false">0</f>
        <v>0</v>
      </c>
      <c r="I51" s="19" t="n">
        <f aca="false">0</f>
        <v>0</v>
      </c>
      <c r="J51" s="19" t="n">
        <f aca="false">0</f>
        <v>0</v>
      </c>
      <c r="K51" s="19" t="n">
        <f aca="false">0</f>
        <v>0</v>
      </c>
      <c r="L51" s="19" t="n">
        <f aca="false">0</f>
        <v>0</v>
      </c>
      <c r="M51" s="19" t="n">
        <f aca="false">0</f>
        <v>0</v>
      </c>
      <c r="N51" s="19" t="n">
        <f aca="false">0</f>
        <v>0</v>
      </c>
    </row>
    <row r="52" customFormat="false" ht="15" hidden="false" customHeight="true" outlineLevel="0" collapsed="false">
      <c r="B52" s="4" t="s">
        <v>128</v>
      </c>
      <c r="C52" s="16" t="s">
        <v>36</v>
      </c>
      <c r="D52" s="19" t="n">
        <f aca="false">D40+D41+SUM(D42:D46)+D48+D49+D50+D51</f>
        <v>800000000</v>
      </c>
      <c r="E52" s="19" t="n">
        <f aca="false">E40+E41+SUM(E42:E46)+E48+E49+E50+E51</f>
        <v>-682941463.414634</v>
      </c>
      <c r="F52" s="19" t="n">
        <f aca="false">F40+F41+SUM(F42:F46)+F48+F49+F50+F51</f>
        <v>242249097.560975</v>
      </c>
      <c r="G52" s="19" t="n">
        <f aca="false">G40+G41+SUM(G42:G46)+G48+G49+G50+G51</f>
        <v>211983693.841464</v>
      </c>
      <c r="H52" s="19" t="n">
        <f aca="false">H40+H41+SUM(H42:H46)+H48+H49+H50+H51</f>
        <v>310096966.73689</v>
      </c>
      <c r="I52" s="19" t="n">
        <f aca="false">I40+I41+SUM(I42:I46)+I48+I49+I50+I51</f>
        <v>346935765.240051</v>
      </c>
      <c r="J52" s="19" t="n">
        <f aca="false">J40+J41+SUM(J42:J46)+J48+J49+J50+J51</f>
        <v>384827887.675852</v>
      </c>
      <c r="K52" s="19" t="n">
        <f aca="false">K40+K41+SUM(K42:K46)+K48+K49+K50+K51</f>
        <v>423820733.621266</v>
      </c>
      <c r="L52" s="19" t="n">
        <f aca="false">L40+L41+SUM(L42:L46)+L48+L49+L50+L51</f>
        <v>709963835.634222</v>
      </c>
      <c r="M52" s="19" t="n">
        <f aca="false">M40+M41+SUM(M42:M46)+M48+M49+M50+M51</f>
        <v>721788955.237765</v>
      </c>
      <c r="N52" s="19" t="n">
        <f aca="false">N40+N41+SUM(N42:N46)+N48+N49+N50+N51</f>
        <v>750958583.22346</v>
      </c>
    </row>
    <row r="53" customFormat="false" ht="15" hidden="false" customHeight="true" outlineLevel="0" collapsed="false">
      <c r="B53" s="4" t="s">
        <v>129</v>
      </c>
      <c r="C53" s="16" t="s">
        <v>36</v>
      </c>
      <c r="D53" s="19" t="n">
        <f aca="false">D52</f>
        <v>800000000</v>
      </c>
      <c r="E53" s="19" t="n">
        <f aca="false">D53+E52</f>
        <v>117058536.585366</v>
      </c>
      <c r="F53" s="19" t="n">
        <f aca="false">E53+F52</f>
        <v>359307634.146341</v>
      </c>
      <c r="G53" s="19" t="n">
        <f aca="false">F53+G52</f>
        <v>571291327.987805</v>
      </c>
      <c r="H53" s="19" t="n">
        <f aca="false">G53+H52</f>
        <v>881388294.724695</v>
      </c>
      <c r="I53" s="19" t="n">
        <f aca="false">H53+I52</f>
        <v>1228324059.96475</v>
      </c>
      <c r="J53" s="19" t="n">
        <f aca="false">I53+J52</f>
        <v>1613151947.6406</v>
      </c>
      <c r="K53" s="19" t="n">
        <f aca="false">J53+K52</f>
        <v>2036972681.26186</v>
      </c>
      <c r="L53" s="19" t="n">
        <f aca="false">K53+L52</f>
        <v>2746936516.89609</v>
      </c>
      <c r="M53" s="19" t="n">
        <f aca="false">L53+M52</f>
        <v>3468725472.13385</v>
      </c>
      <c r="N53" s="19" t="n">
        <f aca="false">M53+N52</f>
        <v>4219684055.35731</v>
      </c>
    </row>
    <row r="54" customFormat="false" ht="15" hidden="false" customHeight="true" outlineLevel="0" collapsed="false">
      <c r="B54" s="6" t="s">
        <v>130</v>
      </c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</row>
    <row r="55" customFormat="false" ht="15" hidden="false" customHeight="true" outlineLevel="0" collapsed="false">
      <c r="B55" s="8" t="s">
        <v>131</v>
      </c>
      <c r="C55" s="16" t="s">
        <v>36</v>
      </c>
      <c r="D55" s="19" t="n">
        <f aca="false">0</f>
        <v>0</v>
      </c>
      <c r="E55" s="19" t="n">
        <f aca="false">D57</f>
        <v>1230000000</v>
      </c>
      <c r="F55" s="19" t="n">
        <f aca="false">E57</f>
        <v>1230000000</v>
      </c>
      <c r="G55" s="19" t="n">
        <f aca="false">F57</f>
        <v>1230000000</v>
      </c>
      <c r="H55" s="19" t="n">
        <f aca="false">G57</f>
        <v>984000000</v>
      </c>
      <c r="I55" s="19" t="n">
        <f aca="false">H57</f>
        <v>738000000</v>
      </c>
      <c r="J55" s="19" t="n">
        <f aca="false">I57</f>
        <v>492000000</v>
      </c>
      <c r="K55" s="19" t="n">
        <f aca="false">J57</f>
        <v>246000000</v>
      </c>
      <c r="L55" s="19" t="n">
        <f aca="false">K57</f>
        <v>0</v>
      </c>
      <c r="M55" s="19" t="n">
        <f aca="false">L57</f>
        <v>0</v>
      </c>
      <c r="N55" s="19" t="n">
        <f aca="false">M57</f>
        <v>0</v>
      </c>
    </row>
    <row r="56" customFormat="false" ht="15" hidden="false" customHeight="true" outlineLevel="0" collapsed="false">
      <c r="B56" s="8" t="s">
        <v>132</v>
      </c>
      <c r="C56" s="16" t="s">
        <v>36</v>
      </c>
      <c r="D56" s="19" t="n">
        <f aca="false">0</f>
        <v>0</v>
      </c>
      <c r="E56" s="19" t="n">
        <f aca="false">IF(E5&lt;='1.Inputs'!$D$34,0,IF(E5&lt;='1.Inputs'!$D$33,$D$49/('1.Inputs'!$D$33-'1.Inputs'!$D$34),0))</f>
        <v>0</v>
      </c>
      <c r="F56" s="19" t="n">
        <f aca="false">IF(F5&lt;='1.Inputs'!$D$34,0,IF(F5&lt;='1.Inputs'!$D$33,$D$49/('1.Inputs'!$D$33-'1.Inputs'!$D$34),0))</f>
        <v>0</v>
      </c>
      <c r="G56" s="19" t="n">
        <f aca="false">IF(G5&lt;='1.Inputs'!$D$34,0,IF(G5&lt;='1.Inputs'!$D$33,$D$49/('1.Inputs'!$D$33-'1.Inputs'!$D$34),0))</f>
        <v>246000000</v>
      </c>
      <c r="H56" s="19" t="n">
        <f aca="false">IF(H5&lt;='1.Inputs'!$D$34,0,IF(H5&lt;='1.Inputs'!$D$33,$D$49/('1.Inputs'!$D$33-'1.Inputs'!$D$34),0))</f>
        <v>246000000</v>
      </c>
      <c r="I56" s="19" t="n">
        <f aca="false">IF(I5&lt;='1.Inputs'!$D$34,0,IF(I5&lt;='1.Inputs'!$D$33,$D$49/('1.Inputs'!$D$33-'1.Inputs'!$D$34),0))</f>
        <v>246000000</v>
      </c>
      <c r="J56" s="19" t="n">
        <f aca="false">IF(J5&lt;='1.Inputs'!$D$34,0,IF(J5&lt;='1.Inputs'!$D$33,$D$49/('1.Inputs'!$D$33-'1.Inputs'!$D$34),0))</f>
        <v>246000000</v>
      </c>
      <c r="K56" s="19" t="n">
        <f aca="false">IF(K5&lt;='1.Inputs'!$D$34,0,IF(K5&lt;='1.Inputs'!$D$33,$D$49/('1.Inputs'!$D$33-'1.Inputs'!$D$34),0))</f>
        <v>246000000</v>
      </c>
      <c r="L56" s="19" t="n">
        <f aca="false">IF(L5&lt;='1.Inputs'!$D$34,0,IF(L5&lt;='1.Inputs'!$D$33,$D$49/('1.Inputs'!$D$33-'1.Inputs'!$D$34),0))</f>
        <v>0</v>
      </c>
      <c r="M56" s="19" t="n">
        <f aca="false">IF(M5&lt;='1.Inputs'!$D$34,0,IF(M5&lt;='1.Inputs'!$D$33,$D$49/('1.Inputs'!$D$33-'1.Inputs'!$D$34),0))</f>
        <v>0</v>
      </c>
      <c r="N56" s="19" t="n">
        <f aca="false">IF(N5&lt;='1.Inputs'!$D$34,0,IF(N5&lt;='1.Inputs'!$D$33,$D$49/('1.Inputs'!$D$33-'1.Inputs'!$D$34),0))</f>
        <v>0</v>
      </c>
    </row>
    <row r="57" customFormat="false" ht="15" hidden="false" customHeight="true" outlineLevel="0" collapsed="false">
      <c r="B57" s="8" t="s">
        <v>133</v>
      </c>
      <c r="C57" s="16" t="s">
        <v>36</v>
      </c>
      <c r="D57" s="19" t="n">
        <f aca="false">D49</f>
        <v>1230000000</v>
      </c>
      <c r="E57" s="19" t="n">
        <f aca="false">E55-E56</f>
        <v>1230000000</v>
      </c>
      <c r="F57" s="19" t="n">
        <f aca="false">F55-F56</f>
        <v>1230000000</v>
      </c>
      <c r="G57" s="19" t="n">
        <f aca="false">G55-G56</f>
        <v>984000000</v>
      </c>
      <c r="H57" s="19" t="n">
        <f aca="false">H55-H56</f>
        <v>738000000</v>
      </c>
      <c r="I57" s="19" t="n">
        <f aca="false">I55-I56</f>
        <v>492000000</v>
      </c>
      <c r="J57" s="19" t="n">
        <f aca="false">J55-J56</f>
        <v>246000000</v>
      </c>
      <c r="K57" s="19" t="n">
        <f aca="false">K55-K56</f>
        <v>0</v>
      </c>
      <c r="L57" s="19" t="n">
        <f aca="false">L55-L56</f>
        <v>0</v>
      </c>
      <c r="M57" s="19" t="n">
        <f aca="false">M55-M56</f>
        <v>0</v>
      </c>
      <c r="N57" s="19" t="n">
        <f aca="false">N55-N56</f>
        <v>0</v>
      </c>
    </row>
    <row r="59" customFormat="false" ht="15" hidden="false" customHeight="true" outlineLevel="0" collapsed="false">
      <c r="B59" s="6" t="s">
        <v>134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</row>
    <row r="60" customFormat="false" ht="15" hidden="false" customHeight="true" outlineLevel="0" collapsed="false">
      <c r="B60" s="8" t="s">
        <v>135</v>
      </c>
      <c r="C60" s="16" t="s">
        <v>36</v>
      </c>
      <c r="D60" s="19" t="n">
        <f aca="false">D53</f>
        <v>800000000</v>
      </c>
      <c r="E60" s="19" t="n">
        <f aca="false">E53</f>
        <v>117058536.585366</v>
      </c>
      <c r="F60" s="19" t="n">
        <f aca="false">F53</f>
        <v>359307634.146341</v>
      </c>
      <c r="G60" s="19" t="n">
        <f aca="false">G53</f>
        <v>571291327.987805</v>
      </c>
      <c r="H60" s="19" t="n">
        <f aca="false">H53</f>
        <v>881388294.724695</v>
      </c>
      <c r="I60" s="19" t="n">
        <f aca="false">I53</f>
        <v>1228324059.96475</v>
      </c>
      <c r="J60" s="19" t="n">
        <f aca="false">J53</f>
        <v>1613151947.6406</v>
      </c>
      <c r="K60" s="19" t="n">
        <f aca="false">K53</f>
        <v>2036972681.26186</v>
      </c>
      <c r="L60" s="19" t="n">
        <f aca="false">L53</f>
        <v>2746936516.89609</v>
      </c>
      <c r="M60" s="19" t="n">
        <f aca="false">M53</f>
        <v>3468725472.13385</v>
      </c>
      <c r="N60" s="19" t="n">
        <f aca="false">N53</f>
        <v>4219684055.35731</v>
      </c>
    </row>
    <row r="61" customFormat="false" ht="15" hidden="false" customHeight="true" outlineLevel="0" collapsed="false">
      <c r="B61" s="8" t="s">
        <v>109</v>
      </c>
      <c r="C61" s="16" t="s">
        <v>36</v>
      </c>
      <c r="D61" s="19" t="n">
        <f aca="false">D33</f>
        <v>0</v>
      </c>
      <c r="E61" s="19" t="n">
        <f aca="false">E33</f>
        <v>681000000</v>
      </c>
      <c r="F61" s="19" t="n">
        <f aca="false">F33</f>
        <v>996303000</v>
      </c>
      <c r="G61" s="19" t="n">
        <f aca="false">G33</f>
        <v>1264237342.5</v>
      </c>
      <c r="H61" s="19" t="n">
        <f aca="false">H33</f>
        <v>1321128022.9125</v>
      </c>
      <c r="I61" s="19" t="n">
        <f aca="false">I33</f>
        <v>1380578783.94356</v>
      </c>
      <c r="J61" s="19" t="n">
        <f aca="false">J33</f>
        <v>1442704829.22102</v>
      </c>
      <c r="K61" s="19" t="n">
        <f aca="false">K33</f>
        <v>1507626546.53597</v>
      </c>
      <c r="L61" s="19" t="n">
        <f aca="false">L33</f>
        <v>1575469741.13009</v>
      </c>
      <c r="M61" s="19" t="n">
        <f aca="false">M33</f>
        <v>1646365879.48094</v>
      </c>
      <c r="N61" s="19" t="n">
        <f aca="false">N33</f>
        <v>1720452344.05758</v>
      </c>
    </row>
    <row r="62" customFormat="false" ht="15" hidden="false" customHeight="true" outlineLevel="0" collapsed="false">
      <c r="B62" s="8" t="s">
        <v>136</v>
      </c>
      <c r="C62" s="16" t="s">
        <v>36</v>
      </c>
      <c r="D62" s="19" t="n">
        <f aca="false">D34</f>
        <v>0</v>
      </c>
      <c r="E62" s="19" t="n">
        <f aca="false">E34</f>
        <v>347560975.609756</v>
      </c>
      <c r="F62" s="19" t="n">
        <f aca="false">F34</f>
        <v>508481707.317073</v>
      </c>
      <c r="G62" s="19" t="n">
        <f aca="false">G34</f>
        <v>645226966.463414</v>
      </c>
      <c r="H62" s="19" t="n">
        <f aca="false">H34</f>
        <v>674262179.954268</v>
      </c>
      <c r="I62" s="19" t="n">
        <f aca="false">I34</f>
        <v>704603978.05221</v>
      </c>
      <c r="J62" s="19" t="n">
        <f aca="false">J34</f>
        <v>736311157.06456</v>
      </c>
      <c r="K62" s="19" t="n">
        <f aca="false">K34</f>
        <v>769445159.132465</v>
      </c>
      <c r="L62" s="19" t="n">
        <f aca="false">L34</f>
        <v>804070191.293425</v>
      </c>
      <c r="M62" s="19" t="n">
        <f aca="false">M34</f>
        <v>840253349.90163</v>
      </c>
      <c r="N62" s="19" t="n">
        <f aca="false">N34</f>
        <v>878064750.647203</v>
      </c>
    </row>
    <row r="63" customFormat="false" ht="15" hidden="false" customHeight="true" outlineLevel="0" collapsed="false">
      <c r="B63" s="8" t="s">
        <v>137</v>
      </c>
      <c r="C63" s="16" t="s">
        <v>36</v>
      </c>
      <c r="D63" s="19" t="n">
        <f aca="false">SUM(D60:D62)</f>
        <v>800000000</v>
      </c>
      <c r="E63" s="19" t="n">
        <f aca="false">SUM(E60:E62)</f>
        <v>1145619512.19512</v>
      </c>
      <c r="F63" s="19" t="n">
        <f aca="false">SUM(F60:F62)</f>
        <v>1864092341.46341</v>
      </c>
      <c r="G63" s="19" t="n">
        <f aca="false">SUM(G60:G62)</f>
        <v>2480755636.95122</v>
      </c>
      <c r="H63" s="19" t="n">
        <f aca="false">SUM(H60:H62)</f>
        <v>2876778497.59146</v>
      </c>
      <c r="I63" s="19" t="n">
        <f aca="false">SUM(I60:I62)</f>
        <v>3313506821.96052</v>
      </c>
      <c r="J63" s="19" t="n">
        <f aca="false">SUM(J60:J62)</f>
        <v>3792167933.92618</v>
      </c>
      <c r="K63" s="19" t="n">
        <f aca="false">SUM(K60:K62)</f>
        <v>4314044386.9303</v>
      </c>
      <c r="L63" s="19" t="n">
        <f aca="false">SUM(L60:L62)</f>
        <v>5126476449.3196</v>
      </c>
      <c r="M63" s="19" t="n">
        <f aca="false">SUM(M60:M62)</f>
        <v>5955344701.51642</v>
      </c>
      <c r="N63" s="19" t="n">
        <f aca="false">SUM(N60:N62)</f>
        <v>6818201150.0621</v>
      </c>
    </row>
    <row r="64" customFormat="false" ht="15" hidden="false" customHeight="true" outlineLevel="0" collapsed="false">
      <c r="B64" s="8" t="s">
        <v>138</v>
      </c>
      <c r="C64" s="16" t="s">
        <v>36</v>
      </c>
      <c r="D64" s="19" t="n">
        <f aca="false">'1.Inputs'!$D$19</f>
        <v>400000000</v>
      </c>
      <c r="E64" s="19" t="n">
        <f aca="false">'1.Inputs'!$D$19</f>
        <v>400000000</v>
      </c>
      <c r="F64" s="19" t="n">
        <f aca="false">'1.Inputs'!$D$19</f>
        <v>400000000</v>
      </c>
      <c r="G64" s="19" t="n">
        <f aca="false">'1.Inputs'!$D$19</f>
        <v>400000000</v>
      </c>
      <c r="H64" s="19" t="n">
        <f aca="false">'1.Inputs'!$D$19</f>
        <v>400000000</v>
      </c>
      <c r="I64" s="19" t="n">
        <f aca="false">'1.Inputs'!$D$19</f>
        <v>400000000</v>
      </c>
      <c r="J64" s="19" t="n">
        <f aca="false">'1.Inputs'!$D$19</f>
        <v>400000000</v>
      </c>
      <c r="K64" s="19" t="n">
        <f aca="false">'1.Inputs'!$D$19</f>
        <v>400000000</v>
      </c>
      <c r="L64" s="19" t="n">
        <f aca="false">'1.Inputs'!$D$19</f>
        <v>400000000</v>
      </c>
      <c r="M64" s="19" t="n">
        <f aca="false">'1.Inputs'!$D$19</f>
        <v>400000000</v>
      </c>
      <c r="N64" s="19" t="n">
        <f aca="false">'1.Inputs'!$D$19</f>
        <v>400000000</v>
      </c>
    </row>
    <row r="65" customFormat="false" ht="15" hidden="false" customHeight="true" outlineLevel="0" collapsed="false">
      <c r="B65" s="8" t="s">
        <v>139</v>
      </c>
      <c r="C65" s="16" t="s">
        <v>36</v>
      </c>
      <c r="D65" s="19" t="n">
        <f aca="false">'1.Inputs'!$D$20+'1.Inputs'!$D$23</f>
        <v>1650000000</v>
      </c>
      <c r="E65" s="19" t="n">
        <f aca="false">'1.Inputs'!$D$20+'1.Inputs'!$D$23</f>
        <v>1650000000</v>
      </c>
      <c r="F65" s="19" t="n">
        <f aca="false">'1.Inputs'!$D$20+'1.Inputs'!$D$23</f>
        <v>1650000000</v>
      </c>
      <c r="G65" s="19" t="n">
        <f aca="false">'1.Inputs'!$D$20+'1.Inputs'!$D$23</f>
        <v>1650000000</v>
      </c>
      <c r="H65" s="19" t="n">
        <f aca="false">'1.Inputs'!$D$20+'1.Inputs'!$D$23</f>
        <v>1650000000</v>
      </c>
      <c r="I65" s="19" t="n">
        <f aca="false">'1.Inputs'!$D$20+'1.Inputs'!$D$23</f>
        <v>1650000000</v>
      </c>
      <c r="J65" s="19" t="n">
        <f aca="false">'1.Inputs'!$D$20+'1.Inputs'!$D$23</f>
        <v>1650000000</v>
      </c>
      <c r="K65" s="19" t="n">
        <f aca="false">'1.Inputs'!$D$20+'1.Inputs'!$D$23</f>
        <v>1650000000</v>
      </c>
      <c r="L65" s="19" t="n">
        <f aca="false">'1.Inputs'!$D$20+'1.Inputs'!$D$23</f>
        <v>1650000000</v>
      </c>
      <c r="M65" s="19" t="n">
        <f aca="false">'1.Inputs'!$D$20+'1.Inputs'!$D$23</f>
        <v>1650000000</v>
      </c>
      <c r="N65" s="19" t="n">
        <f aca="false">'1.Inputs'!$D$20+'1.Inputs'!$D$23</f>
        <v>1650000000</v>
      </c>
    </row>
    <row r="66" customFormat="false" ht="15" hidden="false" customHeight="true" outlineLevel="0" collapsed="false">
      <c r="B66" s="8" t="s">
        <v>140</v>
      </c>
      <c r="C66" s="16" t="s">
        <v>36</v>
      </c>
      <c r="D66" s="19" t="n">
        <f aca="false">0</f>
        <v>0</v>
      </c>
      <c r="E66" s="19" t="n">
        <f aca="false">D66+E20+E21</f>
        <v>135000000</v>
      </c>
      <c r="F66" s="19" t="n">
        <f aca="false">E66+F20+F21</f>
        <v>270000000</v>
      </c>
      <c r="G66" s="19" t="n">
        <f aca="false">F66+G20+G21</f>
        <v>405000000</v>
      </c>
      <c r="H66" s="19" t="n">
        <f aca="false">G66+H20+H21</f>
        <v>540000000</v>
      </c>
      <c r="I66" s="19" t="n">
        <f aca="false">H66+I20+I21</f>
        <v>675000000</v>
      </c>
      <c r="J66" s="19" t="n">
        <f aca="false">I66+J20+J21</f>
        <v>810000000</v>
      </c>
      <c r="K66" s="19" t="n">
        <f aca="false">J66+K20+K21</f>
        <v>945000000</v>
      </c>
      <c r="L66" s="19" t="n">
        <f aca="false">K66+L20+L21</f>
        <v>1080000000</v>
      </c>
      <c r="M66" s="19" t="n">
        <f aca="false">L66+M20+M21</f>
        <v>1215000000</v>
      </c>
      <c r="N66" s="19" t="n">
        <f aca="false">M66+N20+N21</f>
        <v>1350000000</v>
      </c>
    </row>
    <row r="67" customFormat="false" ht="15" hidden="false" customHeight="true" outlineLevel="0" collapsed="false">
      <c r="B67" s="8" t="s">
        <v>141</v>
      </c>
      <c r="C67" s="16" t="s">
        <v>36</v>
      </c>
      <c r="D67" s="19" t="n">
        <f aca="false">D64+D65-D66</f>
        <v>2050000000</v>
      </c>
      <c r="E67" s="19" t="n">
        <f aca="false">E64+E65-E66</f>
        <v>1915000000</v>
      </c>
      <c r="F67" s="19" t="n">
        <f aca="false">F64+F65-F66</f>
        <v>1780000000</v>
      </c>
      <c r="G67" s="19" t="n">
        <f aca="false">G64+G65-G66</f>
        <v>1645000000</v>
      </c>
      <c r="H67" s="19" t="n">
        <f aca="false">H64+H65-H66</f>
        <v>1510000000</v>
      </c>
      <c r="I67" s="19" t="n">
        <f aca="false">I64+I65-I66</f>
        <v>1375000000</v>
      </c>
      <c r="J67" s="19" t="n">
        <f aca="false">J64+J65-J66</f>
        <v>1240000000</v>
      </c>
      <c r="K67" s="19" t="n">
        <f aca="false">K64+K65-K66</f>
        <v>1105000000</v>
      </c>
      <c r="L67" s="19" t="n">
        <f aca="false">L64+L65-L66</f>
        <v>970000000</v>
      </c>
      <c r="M67" s="19" t="n">
        <f aca="false">M64+M65-M66</f>
        <v>835000000</v>
      </c>
      <c r="N67" s="19" t="n">
        <f aca="false">N64+N65-N66</f>
        <v>700000000</v>
      </c>
    </row>
    <row r="68" customFormat="false" ht="15" hidden="false" customHeight="true" outlineLevel="0" collapsed="false">
      <c r="B68" s="4" t="s">
        <v>142</v>
      </c>
      <c r="C68" s="16" t="s">
        <v>36</v>
      </c>
      <c r="D68" s="19" t="n">
        <f aca="false">D63+D67</f>
        <v>2850000000</v>
      </c>
      <c r="E68" s="19" t="n">
        <f aca="false">E63+E67</f>
        <v>3060619512.19512</v>
      </c>
      <c r="F68" s="19" t="n">
        <f aca="false">F63+F67</f>
        <v>3644092341.46341</v>
      </c>
      <c r="G68" s="19" t="n">
        <f aca="false">G63+G67</f>
        <v>4125755636.95122</v>
      </c>
      <c r="H68" s="19" t="n">
        <f aca="false">H63+H67</f>
        <v>4386778497.59146</v>
      </c>
      <c r="I68" s="19" t="n">
        <f aca="false">I63+I67</f>
        <v>4688506821.96052</v>
      </c>
      <c r="J68" s="19" t="n">
        <f aca="false">J63+J67</f>
        <v>5032167933.92618</v>
      </c>
      <c r="K68" s="19" t="n">
        <f aca="false">K63+K67</f>
        <v>5419044386.9303</v>
      </c>
      <c r="L68" s="19" t="n">
        <f aca="false">L63+L67</f>
        <v>6096476449.3196</v>
      </c>
      <c r="M68" s="19" t="n">
        <f aca="false">M63+M67</f>
        <v>6790344701.51642</v>
      </c>
      <c r="N68" s="19" t="n">
        <f aca="false">N63+N67</f>
        <v>7518201150.0621</v>
      </c>
    </row>
    <row r="70" customFormat="false" ht="15" hidden="false" customHeight="true" outlineLevel="0" collapsed="false">
      <c r="B70" s="8" t="s">
        <v>111</v>
      </c>
      <c r="C70" s="16" t="s">
        <v>36</v>
      </c>
      <c r="D70" s="19" t="n">
        <f aca="false">D35</f>
        <v>0</v>
      </c>
      <c r="E70" s="19" t="n">
        <f aca="false">E35</f>
        <v>231707317.073171</v>
      </c>
      <c r="F70" s="19" t="n">
        <f aca="false">F35</f>
        <v>338987804.878049</v>
      </c>
      <c r="G70" s="19" t="n">
        <f aca="false">G35</f>
        <v>430151310.97561</v>
      </c>
      <c r="H70" s="19" t="n">
        <f aca="false">H35</f>
        <v>449508119.969512</v>
      </c>
      <c r="I70" s="19" t="n">
        <f aca="false">I35</f>
        <v>469735985.36814</v>
      </c>
      <c r="J70" s="19" t="n">
        <f aca="false">J35</f>
        <v>490874104.709706</v>
      </c>
      <c r="K70" s="19" t="n">
        <f aca="false">K35</f>
        <v>512963439.421643</v>
      </c>
      <c r="L70" s="19" t="n">
        <f aca="false">L35</f>
        <v>536046794.195617</v>
      </c>
      <c r="M70" s="19" t="n">
        <f aca="false">M35</f>
        <v>560168899.93442</v>
      </c>
      <c r="N70" s="19" t="n">
        <f aca="false">N35</f>
        <v>585376500.431469</v>
      </c>
    </row>
    <row r="71" customFormat="false" ht="15" hidden="false" customHeight="true" outlineLevel="0" collapsed="false">
      <c r="B71" s="8" t="s">
        <v>143</v>
      </c>
      <c r="C71" s="16" t="s">
        <v>36</v>
      </c>
      <c r="D71" s="19" t="n">
        <f aca="false">D36</f>
        <v>0</v>
      </c>
      <c r="E71" s="19" t="n">
        <f aca="false">E36</f>
        <v>0</v>
      </c>
      <c r="F71" s="19" t="n">
        <f aca="false">F36</f>
        <v>159286587.804878</v>
      </c>
      <c r="G71" s="19" t="n">
        <f aca="false">G36</f>
        <v>311800336.152439</v>
      </c>
      <c r="H71" s="19" t="n">
        <f aca="false">H36</f>
        <v>340614301.279299</v>
      </c>
      <c r="I71" s="19" t="n">
        <f aca="false">I36</f>
        <v>370259954.836867</v>
      </c>
      <c r="J71" s="19" t="n">
        <f aca="false">J36</f>
        <v>400774722.804526</v>
      </c>
      <c r="K71" s="19" t="n">
        <f aca="false">K36</f>
        <v>432197715.33073</v>
      </c>
      <c r="L71" s="19" t="n">
        <f aca="false">L36</f>
        <v>464569802.520612</v>
      </c>
      <c r="M71" s="19" t="n">
        <f aca="false">M36</f>
        <v>487601693.634041</v>
      </c>
      <c r="N71" s="19" t="n">
        <f aca="false">N36</f>
        <v>511670019.847571</v>
      </c>
    </row>
    <row r="72" customFormat="false" ht="15" hidden="false" customHeight="true" outlineLevel="0" collapsed="false">
      <c r="B72" s="8" t="s">
        <v>113</v>
      </c>
      <c r="C72" s="16" t="s">
        <v>36</v>
      </c>
      <c r="D72" s="19" t="n">
        <f aca="false">D37</f>
        <v>0</v>
      </c>
      <c r="E72" s="19" t="n">
        <f aca="false">E37</f>
        <v>0</v>
      </c>
      <c r="F72" s="19" t="n">
        <f aca="false">F37</f>
        <v>95071726.0975609</v>
      </c>
      <c r="G72" s="19" t="n">
        <f aca="false">G37</f>
        <v>173717330.142073</v>
      </c>
      <c r="H72" s="19" t="n">
        <f aca="false">H37</f>
        <v>189770824.998466</v>
      </c>
      <c r="I72" s="19" t="n">
        <f aca="false">I37</f>
        <v>206287689.123398</v>
      </c>
      <c r="J72" s="19" t="n">
        <f aca="false">J37</f>
        <v>223288774.13395</v>
      </c>
      <c r="K72" s="19" t="n">
        <f aca="false">K37</f>
        <v>240795869.969978</v>
      </c>
      <c r="L72" s="19" t="n">
        <f aca="false">L37</f>
        <v>258831747.118627</v>
      </c>
      <c r="M72" s="19" t="n">
        <f aca="false">M37</f>
        <v>271663800.738966</v>
      </c>
      <c r="N72" s="19" t="n">
        <f aca="false">N37</f>
        <v>285073296.772218</v>
      </c>
    </row>
    <row r="73" customFormat="false" ht="15" hidden="false" customHeight="true" outlineLevel="0" collapsed="false">
      <c r="B73" s="8" t="s">
        <v>144</v>
      </c>
      <c r="C73" s="16" t="s">
        <v>36</v>
      </c>
      <c r="D73" s="19" t="n">
        <f aca="false">D57</f>
        <v>1230000000</v>
      </c>
      <c r="E73" s="19" t="n">
        <f aca="false">E57</f>
        <v>1230000000</v>
      </c>
      <c r="F73" s="19" t="n">
        <f aca="false">F57</f>
        <v>1230000000</v>
      </c>
      <c r="G73" s="19" t="n">
        <f aca="false">G57</f>
        <v>984000000</v>
      </c>
      <c r="H73" s="19" t="n">
        <f aca="false">H57</f>
        <v>738000000</v>
      </c>
      <c r="I73" s="19" t="n">
        <f aca="false">I57</f>
        <v>492000000</v>
      </c>
      <c r="J73" s="19" t="n">
        <f aca="false">J57</f>
        <v>246000000</v>
      </c>
      <c r="K73" s="19" t="n">
        <f aca="false">K57</f>
        <v>0</v>
      </c>
      <c r="L73" s="19" t="n">
        <f aca="false">L57</f>
        <v>0</v>
      </c>
      <c r="M73" s="19" t="n">
        <f aca="false">M57</f>
        <v>0</v>
      </c>
      <c r="N73" s="19" t="n">
        <f aca="false">N57</f>
        <v>0</v>
      </c>
    </row>
    <row r="74" customFormat="false" ht="15" hidden="false" customHeight="true" outlineLevel="0" collapsed="false">
      <c r="B74" s="4" t="s">
        <v>145</v>
      </c>
      <c r="C74" s="16" t="s">
        <v>36</v>
      </c>
      <c r="D74" s="19" t="n">
        <f aca="false">SUM(D70:D73)</f>
        <v>1230000000</v>
      </c>
      <c r="E74" s="19" t="n">
        <f aca="false">SUM(E70:E73)</f>
        <v>1461707317.07317</v>
      </c>
      <c r="F74" s="19" t="n">
        <f aca="false">SUM(F70:F73)</f>
        <v>1823346118.78049</v>
      </c>
      <c r="G74" s="19" t="n">
        <f aca="false">SUM(G70:G73)</f>
        <v>1899668977.27012</v>
      </c>
      <c r="H74" s="19" t="n">
        <f aca="false">SUM(H70:H73)</f>
        <v>1717893246.24728</v>
      </c>
      <c r="I74" s="19" t="n">
        <f aca="false">SUM(I70:I73)</f>
        <v>1538283629.32841</v>
      </c>
      <c r="J74" s="19" t="n">
        <f aca="false">SUM(J70:J73)</f>
        <v>1360937601.64818</v>
      </c>
      <c r="K74" s="19" t="n">
        <f aca="false">SUM(K70:K73)</f>
        <v>1185957024.72235</v>
      </c>
      <c r="L74" s="19" t="n">
        <f aca="false">SUM(L70:L73)</f>
        <v>1259448343.83486</v>
      </c>
      <c r="M74" s="19" t="n">
        <f aca="false">SUM(M70:M73)</f>
        <v>1319434394.30743</v>
      </c>
      <c r="N74" s="19" t="n">
        <f aca="false">SUM(N70:N73)</f>
        <v>1382119817.05126</v>
      </c>
    </row>
    <row r="75" customFormat="false" ht="15" hidden="false" customHeight="true" outlineLevel="0" collapsed="false">
      <c r="B75" s="8" t="s">
        <v>146</v>
      </c>
      <c r="C75" s="16" t="s">
        <v>36</v>
      </c>
      <c r="D75" s="19" t="n">
        <f aca="false">$D$51</f>
        <v>1620000000</v>
      </c>
      <c r="E75" s="19" t="n">
        <f aca="false">$D$51</f>
        <v>1620000000</v>
      </c>
      <c r="F75" s="19" t="n">
        <f aca="false">$D$51</f>
        <v>1620000000</v>
      </c>
      <c r="G75" s="19" t="n">
        <f aca="false">$D$51</f>
        <v>1620000000</v>
      </c>
      <c r="H75" s="19" t="n">
        <f aca="false">$D$51</f>
        <v>1620000000</v>
      </c>
      <c r="I75" s="19" t="n">
        <f aca="false">$D$51</f>
        <v>1620000000</v>
      </c>
      <c r="J75" s="19" t="n">
        <f aca="false">$D$51</f>
        <v>1620000000</v>
      </c>
      <c r="K75" s="19" t="n">
        <f aca="false">$D$51</f>
        <v>1620000000</v>
      </c>
      <c r="L75" s="19" t="n">
        <f aca="false">$D$51</f>
        <v>1620000000</v>
      </c>
      <c r="M75" s="19" t="n">
        <f aca="false">$D$51</f>
        <v>1620000000</v>
      </c>
      <c r="N75" s="19" t="n">
        <f aca="false">$D$51</f>
        <v>1620000000</v>
      </c>
    </row>
    <row r="76" customFormat="false" ht="15" hidden="false" customHeight="true" outlineLevel="0" collapsed="false">
      <c r="B76" s="8" t="s">
        <v>147</v>
      </c>
      <c r="C76" s="16" t="s">
        <v>36</v>
      </c>
      <c r="D76" s="19" t="n">
        <f aca="false">0</f>
        <v>0</v>
      </c>
      <c r="E76" s="19" t="n">
        <f aca="false">D76+E29-E30</f>
        <v>-21087804.8780489</v>
      </c>
      <c r="F76" s="19" t="n">
        <f aca="false">E76+F29-F30</f>
        <v>200746222.682927</v>
      </c>
      <c r="G76" s="19" t="n">
        <f aca="false">F76+G29-G30</f>
        <v>606086659.681097</v>
      </c>
      <c r="H76" s="19" t="n">
        <f aca="false">G76+H29-H30</f>
        <v>1048885251.34419</v>
      </c>
      <c r="I76" s="19" t="n">
        <f aca="false">H76+I29-I30</f>
        <v>1530223192.63211</v>
      </c>
      <c r="J76" s="19" t="n">
        <f aca="false">I76+J29-J30</f>
        <v>2051230332.278</v>
      </c>
      <c r="K76" s="19" t="n">
        <f aca="false">J76+K29-K30</f>
        <v>2613087362.20795</v>
      </c>
      <c r="L76" s="19" t="n">
        <f aca="false">K76+L29-L30</f>
        <v>3217028105.48474</v>
      </c>
      <c r="M76" s="19" t="n">
        <f aca="false">L76+M29-M30</f>
        <v>3850910307.209</v>
      </c>
      <c r="N76" s="19" t="n">
        <f aca="false">M76+N29-N30</f>
        <v>4516081333.01084</v>
      </c>
    </row>
    <row r="77" customFormat="false" ht="15" hidden="false" customHeight="true" outlineLevel="0" collapsed="false">
      <c r="B77" s="4" t="s">
        <v>148</v>
      </c>
      <c r="C77" s="16" t="s">
        <v>36</v>
      </c>
      <c r="D77" s="19" t="n">
        <f aca="false">D75+D76</f>
        <v>1620000000</v>
      </c>
      <c r="E77" s="19" t="n">
        <f aca="false">E75+E76</f>
        <v>1598912195.12195</v>
      </c>
      <c r="F77" s="19" t="n">
        <f aca="false">F75+F76</f>
        <v>1820746222.68293</v>
      </c>
      <c r="G77" s="19" t="n">
        <f aca="false">G75+G76</f>
        <v>2226086659.6811</v>
      </c>
      <c r="H77" s="19" t="n">
        <f aca="false">H75+H76</f>
        <v>2668885251.34419</v>
      </c>
      <c r="I77" s="19" t="n">
        <f aca="false">I75+I76</f>
        <v>3150223192.63211</v>
      </c>
      <c r="J77" s="19" t="n">
        <f aca="false">J75+J76</f>
        <v>3671230332.278</v>
      </c>
      <c r="K77" s="19" t="n">
        <f aca="false">K75+K76</f>
        <v>4233087362.20795</v>
      </c>
      <c r="L77" s="19" t="n">
        <f aca="false">L75+L76</f>
        <v>4837028105.48474</v>
      </c>
      <c r="M77" s="19" t="n">
        <f aca="false">M75+M76</f>
        <v>5470910307.209</v>
      </c>
      <c r="N77" s="19" t="n">
        <f aca="false">N75+N76</f>
        <v>6136081333.01084</v>
      </c>
    </row>
    <row r="78" customFormat="false" ht="15" hidden="false" customHeight="true" outlineLevel="0" collapsed="false">
      <c r="B78" s="4" t="s">
        <v>149</v>
      </c>
      <c r="C78" s="16" t="s">
        <v>36</v>
      </c>
      <c r="D78" s="19" t="n">
        <f aca="false">D74+D77</f>
        <v>2850000000</v>
      </c>
      <c r="E78" s="19" t="n">
        <f aca="false">E74+E77</f>
        <v>3060619512.19512</v>
      </c>
      <c r="F78" s="19" t="n">
        <f aca="false">F74+F77</f>
        <v>3644092341.46341</v>
      </c>
      <c r="G78" s="19" t="n">
        <f aca="false">G74+G77</f>
        <v>4125755636.95122</v>
      </c>
      <c r="H78" s="19" t="n">
        <f aca="false">H74+H77</f>
        <v>4386778497.59146</v>
      </c>
      <c r="I78" s="19" t="n">
        <f aca="false">I74+I77</f>
        <v>4688506821.96052</v>
      </c>
      <c r="J78" s="19" t="n">
        <f aca="false">J74+J77</f>
        <v>5032167933.92618</v>
      </c>
      <c r="K78" s="19" t="n">
        <f aca="false">K74+K77</f>
        <v>5419044386.9303</v>
      </c>
      <c r="L78" s="19" t="n">
        <f aca="false">L74+L77</f>
        <v>6096476449.3196</v>
      </c>
      <c r="M78" s="19" t="n">
        <f aca="false">M74+M77</f>
        <v>6790344701.51642</v>
      </c>
      <c r="N78" s="19" t="n">
        <f aca="false">N74+N77</f>
        <v>7518201150.0621</v>
      </c>
    </row>
    <row r="79" customFormat="false" ht="15" hidden="false" customHeight="true" outlineLevel="0" collapsed="false">
      <c r="B79" s="4" t="s">
        <v>150</v>
      </c>
      <c r="C79" s="16" t="s">
        <v>36</v>
      </c>
      <c r="D79" s="19" t="n">
        <f aca="false">D68-D78</f>
        <v>0</v>
      </c>
      <c r="E79" s="19" t="n">
        <f aca="false">E68-E78</f>
        <v>0</v>
      </c>
      <c r="F79" s="19" t="n">
        <f aca="false">F68-F78</f>
        <v>0</v>
      </c>
      <c r="G79" s="19" t="n">
        <f aca="false">G68-G78</f>
        <v>0</v>
      </c>
      <c r="H79" s="19" t="n">
        <f aca="false">H68-H78</f>
        <v>0</v>
      </c>
      <c r="I79" s="19" t="n">
        <f aca="false">I68-I78</f>
        <v>0</v>
      </c>
      <c r="J79" s="19" t="n">
        <f aca="false">J68-J78</f>
        <v>0</v>
      </c>
      <c r="K79" s="19" t="n">
        <f aca="false">K68-K78</f>
        <v>0</v>
      </c>
      <c r="L79" s="19" t="n">
        <f aca="false">L68-L78</f>
        <v>0</v>
      </c>
      <c r="M79" s="19" t="n">
        <f aca="false">M68-M78</f>
        <v>0</v>
      </c>
      <c r="N79" s="19" t="n">
        <f aca="false">N68-N78</f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3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5" topLeftCell="D6" activePane="bottomRight" state="frozen"/>
      <selection pane="topLeft" activeCell="A1" activeCellId="0" sqref="A1"/>
      <selection pane="topRight" activeCell="D1" activeCellId="0" sqref="D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151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15" hidden="false" customHeight="true" outlineLevel="0" collapsed="false">
      <c r="B4" s="4" t="s">
        <v>82</v>
      </c>
      <c r="D4" s="22" t="n">
        <f aca="false">'2.Estados'!D4</f>
        <v>2027</v>
      </c>
      <c r="E4" s="23" t="n">
        <f aca="false">D4+1</f>
        <v>2028</v>
      </c>
      <c r="F4" s="23" t="n">
        <f aca="false">E4+1</f>
        <v>2029</v>
      </c>
      <c r="G4" s="23" t="n">
        <f aca="false">F4+1</f>
        <v>2030</v>
      </c>
      <c r="H4" s="23" t="n">
        <f aca="false">G4+1</f>
        <v>2031</v>
      </c>
      <c r="I4" s="23" t="n">
        <f aca="false">H4+1</f>
        <v>2032</v>
      </c>
      <c r="J4" s="23" t="n">
        <f aca="false">I4+1</f>
        <v>2033</v>
      </c>
      <c r="K4" s="23" t="n">
        <f aca="false">J4+1</f>
        <v>2034</v>
      </c>
      <c r="L4" s="23" t="n">
        <f aca="false">K4+1</f>
        <v>2035</v>
      </c>
      <c r="M4" s="23" t="n">
        <f aca="false">L4+1</f>
        <v>2036</v>
      </c>
      <c r="N4" s="23" t="n">
        <f aca="false">M4+1</f>
        <v>2037</v>
      </c>
    </row>
    <row r="5" customFormat="false" ht="15" hidden="false" customHeight="true" outlineLevel="0" collapsed="false">
      <c r="B5" s="4" t="s">
        <v>83</v>
      </c>
      <c r="D5" s="23" t="n">
        <v>0</v>
      </c>
      <c r="E5" s="23" t="n">
        <v>1</v>
      </c>
      <c r="F5" s="23" t="n">
        <v>2</v>
      </c>
      <c r="G5" s="23" t="n">
        <v>3</v>
      </c>
      <c r="H5" s="23" t="n">
        <v>4</v>
      </c>
      <c r="I5" s="23" t="n">
        <v>5</v>
      </c>
      <c r="J5" s="23" t="n">
        <v>6</v>
      </c>
      <c r="K5" s="23" t="n">
        <v>7</v>
      </c>
      <c r="L5" s="23" t="n">
        <v>8</v>
      </c>
      <c r="M5" s="23" t="n">
        <v>9</v>
      </c>
      <c r="N5" s="23" t="n">
        <v>10</v>
      </c>
    </row>
    <row r="7" customFormat="false" ht="15" hidden="false" customHeight="true" outlineLevel="0" collapsed="false">
      <c r="B7" s="6" t="s">
        <v>152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customFormat="false" ht="15" hidden="false" customHeight="true" outlineLevel="0" collapsed="false">
      <c r="B8" s="8" t="s">
        <v>153</v>
      </c>
      <c r="C8" s="16" t="s">
        <v>36</v>
      </c>
      <c r="D8" s="27" t="n">
        <f aca="false">'2.Estados'!D22</f>
        <v>0</v>
      </c>
      <c r="E8" s="27" t="n">
        <f aca="false">'2.Estados'!E22</f>
        <v>126512195.121951</v>
      </c>
      <c r="F8" s="27" t="n">
        <f aca="false">'2.Estados'!F22</f>
        <v>623792341.463414</v>
      </c>
      <c r="G8" s="27" t="n">
        <f aca="false">'2.Estados'!G22</f>
        <v>1038458103.29268</v>
      </c>
      <c r="H8" s="27" t="n">
        <f aca="false">'2.Estados'!H22</f>
        <v>1091263717.94085</v>
      </c>
      <c r="I8" s="27" t="n">
        <f aca="false">'2.Estados'!I22</f>
        <v>1146445585.24819</v>
      </c>
      <c r="J8" s="27" t="n">
        <f aca="false">'2.Estados'!J22</f>
        <v>1204110636.58436</v>
      </c>
      <c r="K8" s="27" t="n">
        <f aca="false">'2.Estados'!K22</f>
        <v>1264370615.23066</v>
      </c>
      <c r="L8" s="27" t="n">
        <f aca="false">'2.Estados'!L22</f>
        <v>1327342292.91604</v>
      </c>
      <c r="M8" s="27" t="n">
        <f aca="false">'2.Estados'!M22</f>
        <v>1393147696.09726</v>
      </c>
      <c r="N8" s="27" t="n">
        <f aca="false">'2.Estados'!N22</f>
        <v>1461914342.42163</v>
      </c>
    </row>
    <row r="9" customFormat="false" ht="15" hidden="false" customHeight="true" outlineLevel="0" collapsed="false">
      <c r="B9" s="8" t="s">
        <v>154</v>
      </c>
      <c r="C9" s="16" t="s">
        <v>36</v>
      </c>
      <c r="D9" s="27" t="n">
        <f aca="false">-MAX(0,'2.Estados'!D22)*'1.Inputs'!$D$53</f>
        <v>-0</v>
      </c>
      <c r="E9" s="27" t="n">
        <f aca="false">-MAX(0,'2.Estados'!E22)*'1.Inputs'!$D$53</f>
        <v>-44279268.2926829</v>
      </c>
      <c r="F9" s="27" t="n">
        <f aca="false">-MAX(0,'2.Estados'!F22)*'1.Inputs'!$D$53</f>
        <v>-218327319.512195</v>
      </c>
      <c r="G9" s="27" t="n">
        <f aca="false">-MAX(0,'2.Estados'!G22)*'1.Inputs'!$D$53</f>
        <v>-363460336.152439</v>
      </c>
      <c r="H9" s="27" t="n">
        <f aca="false">-MAX(0,'2.Estados'!H22)*'1.Inputs'!$D$53</f>
        <v>-381942301.279299</v>
      </c>
      <c r="I9" s="27" t="n">
        <f aca="false">-MAX(0,'2.Estados'!I22)*'1.Inputs'!$D$53</f>
        <v>-401255954.836867</v>
      </c>
      <c r="J9" s="27" t="n">
        <f aca="false">-MAX(0,'2.Estados'!J22)*'1.Inputs'!$D$53</f>
        <v>-421438722.804526</v>
      </c>
      <c r="K9" s="27" t="n">
        <f aca="false">-MAX(0,'2.Estados'!K22)*'1.Inputs'!$D$53</f>
        <v>-442529715.33073</v>
      </c>
      <c r="L9" s="27" t="n">
        <f aca="false">-MAX(0,'2.Estados'!L22)*'1.Inputs'!$D$53</f>
        <v>-464569802.520612</v>
      </c>
      <c r="M9" s="27" t="n">
        <f aca="false">-MAX(0,'2.Estados'!M22)*'1.Inputs'!$D$53</f>
        <v>-487601693.634041</v>
      </c>
      <c r="N9" s="27" t="n">
        <f aca="false">-MAX(0,'2.Estados'!N22)*'1.Inputs'!$D$53</f>
        <v>-511670019.847571</v>
      </c>
    </row>
    <row r="10" customFormat="false" ht="15" hidden="false" customHeight="true" outlineLevel="0" collapsed="false">
      <c r="B10" s="8" t="s">
        <v>117</v>
      </c>
      <c r="C10" s="16" t="s">
        <v>36</v>
      </c>
      <c r="D10" s="27" t="n">
        <f aca="false">'2.Estados'!D20+'2.Estados'!D21</f>
        <v>0</v>
      </c>
      <c r="E10" s="27" t="n">
        <f aca="false">'2.Estados'!E20+'2.Estados'!E21</f>
        <v>135000000</v>
      </c>
      <c r="F10" s="27" t="n">
        <f aca="false">'2.Estados'!F20+'2.Estados'!F21</f>
        <v>135000000</v>
      </c>
      <c r="G10" s="27" t="n">
        <f aca="false">'2.Estados'!G20+'2.Estados'!G21</f>
        <v>135000000</v>
      </c>
      <c r="H10" s="27" t="n">
        <f aca="false">'2.Estados'!H20+'2.Estados'!H21</f>
        <v>135000000</v>
      </c>
      <c r="I10" s="27" t="n">
        <f aca="false">'2.Estados'!I20+'2.Estados'!I21</f>
        <v>135000000</v>
      </c>
      <c r="J10" s="27" t="n">
        <f aca="false">'2.Estados'!J20+'2.Estados'!J21</f>
        <v>135000000</v>
      </c>
      <c r="K10" s="27" t="n">
        <f aca="false">'2.Estados'!K20+'2.Estados'!K21</f>
        <v>135000000</v>
      </c>
      <c r="L10" s="27" t="n">
        <f aca="false">'2.Estados'!L20+'2.Estados'!L21</f>
        <v>135000000</v>
      </c>
      <c r="M10" s="27" t="n">
        <f aca="false">'2.Estados'!M20+'2.Estados'!M21</f>
        <v>135000000</v>
      </c>
      <c r="N10" s="27" t="n">
        <f aca="false">'2.Estados'!N20+'2.Estados'!N21</f>
        <v>135000000</v>
      </c>
    </row>
    <row r="11" customFormat="false" ht="15" hidden="false" customHeight="true" outlineLevel="0" collapsed="false">
      <c r="B11" s="8" t="s">
        <v>155</v>
      </c>
      <c r="C11" s="16" t="s">
        <v>36</v>
      </c>
      <c r="D11" s="19" t="n">
        <f aca="false">-('2.Estados'!D33+'2.Estados'!D34-'2.Estados'!D35)</f>
        <v>-0</v>
      </c>
      <c r="E11" s="19" t="n">
        <f aca="false">-(('2.Estados'!E33+'2.Estados'!E34-'2.Estados'!E35)-('2.Estados'!D33+'2.Estados'!D34-'2.Estados'!D35))</f>
        <v>-796853658.536585</v>
      </c>
      <c r="F11" s="19" t="n">
        <f aca="false">-(('2.Estados'!F33+'2.Estados'!F34-'2.Estados'!F35)-('2.Estados'!E33+'2.Estados'!E34-'2.Estados'!E35))</f>
        <v>-368943243.902439</v>
      </c>
      <c r="G11" s="19" t="n">
        <f aca="false">-(('2.Estados'!G33+'2.Estados'!G34-'2.Estados'!G35)-('2.Estados'!F33+'2.Estados'!F34-'2.Estados'!F35))</f>
        <v>-313516095.54878</v>
      </c>
      <c r="H11" s="19" t="n">
        <f aca="false">-(('2.Estados'!H33+'2.Estados'!H34-'2.Estados'!H35)-('2.Estados'!G33+'2.Estados'!G34-'2.Estados'!G35))</f>
        <v>-66569084.9094512</v>
      </c>
      <c r="I11" s="19" t="n">
        <f aca="false">-(('2.Estados'!I33+'2.Estados'!I34-'2.Estados'!I35)-('2.Estados'!H33+'2.Estados'!H34-'2.Estados'!H35))</f>
        <v>-69564693.7303762</v>
      </c>
      <c r="J11" s="19" t="n">
        <f aca="false">-(('2.Estados'!J33+'2.Estados'!J34-'2.Estados'!J35)-('2.Estados'!I33+'2.Estados'!I34-'2.Estados'!I35))</f>
        <v>-72695104.9482431</v>
      </c>
      <c r="K11" s="19" t="n">
        <f aca="false">-(('2.Estados'!K33+'2.Estados'!K34-'2.Estados'!K35)-('2.Estados'!J33+'2.Estados'!J34-'2.Estados'!J35))</f>
        <v>-75966384.6709147</v>
      </c>
      <c r="L11" s="19" t="n">
        <f aca="false">-(('2.Estados'!L33+'2.Estados'!L34-'2.Estados'!L35)-('2.Estados'!K33+'2.Estados'!K34-'2.Estados'!K35))</f>
        <v>-79384871.9811051</v>
      </c>
      <c r="M11" s="19" t="n">
        <f aca="false">-(('2.Estados'!M33+'2.Estados'!M34-'2.Estados'!M35)-('2.Estados'!L33+'2.Estados'!L34-'2.Estados'!L35))</f>
        <v>-82957191.2202556</v>
      </c>
      <c r="N11" s="19" t="n">
        <f aca="false">-(('2.Estados'!N33+'2.Estados'!N34-'2.Estados'!N35)-('2.Estados'!M33+'2.Estados'!M34-'2.Estados'!M35))</f>
        <v>-86690264.8251662</v>
      </c>
    </row>
    <row r="12" customFormat="false" ht="15" hidden="false" customHeight="true" outlineLevel="0" collapsed="false">
      <c r="B12" s="8" t="s">
        <v>124</v>
      </c>
      <c r="C12" s="16" t="s">
        <v>36</v>
      </c>
      <c r="D12" s="27" t="n">
        <f aca="false">-'1.Inputs'!$D$24</f>
        <v>-2050000000</v>
      </c>
      <c r="E12" s="19" t="n">
        <f aca="false">0</f>
        <v>0</v>
      </c>
      <c r="F12" s="19" t="n">
        <f aca="false">0</f>
        <v>0</v>
      </c>
      <c r="G12" s="19" t="n">
        <f aca="false">0</f>
        <v>0</v>
      </c>
      <c r="H12" s="19" t="n">
        <f aca="false">0</f>
        <v>0</v>
      </c>
      <c r="I12" s="19" t="n">
        <f aca="false">0</f>
        <v>0</v>
      </c>
      <c r="J12" s="19" t="n">
        <f aca="false">0</f>
        <v>0</v>
      </c>
      <c r="K12" s="19" t="n">
        <f aca="false">0</f>
        <v>0</v>
      </c>
      <c r="L12" s="19" t="n">
        <f aca="false">0</f>
        <v>0</v>
      </c>
      <c r="M12" s="19" t="n">
        <f aca="false">0</f>
        <v>0</v>
      </c>
      <c r="N12" s="19" t="n">
        <f aca="false">0</f>
        <v>0</v>
      </c>
    </row>
    <row r="13" customFormat="false" ht="15" hidden="false" customHeight="true" outlineLevel="0" collapsed="false">
      <c r="B13" s="8" t="s">
        <v>156</v>
      </c>
      <c r="C13" s="16" t="s">
        <v>36</v>
      </c>
      <c r="D13" s="19" t="n">
        <f aca="false">0</f>
        <v>0</v>
      </c>
      <c r="E13" s="19" t="n">
        <f aca="false">0</f>
        <v>0</v>
      </c>
      <c r="F13" s="19" t="n">
        <f aca="false">0</f>
        <v>0</v>
      </c>
      <c r="G13" s="19" t="n">
        <f aca="false">0</f>
        <v>0</v>
      </c>
      <c r="H13" s="19" t="n">
        <f aca="false">0</f>
        <v>0</v>
      </c>
      <c r="I13" s="19" t="n">
        <f aca="false">0</f>
        <v>0</v>
      </c>
      <c r="J13" s="19" t="n">
        <f aca="false">0</f>
        <v>0</v>
      </c>
      <c r="K13" s="19" t="n">
        <f aca="false">0</f>
        <v>0</v>
      </c>
      <c r="L13" s="19" t="n">
        <f aca="false">0</f>
        <v>0</v>
      </c>
      <c r="M13" s="19" t="n">
        <f aca="false">0</f>
        <v>0</v>
      </c>
      <c r="N13" s="19" t="n">
        <f aca="false">('1.Inputs'!$D$20+'1.Inputs'!$D$23-'2.Estados'!N66)*'1.Inputs'!$D$60+'1.Inputs'!$D$19*'1.Inputs'!$D$59+('2.Estados'!N33+'2.Estados'!N34-'2.Estados'!N35)</f>
        <v>2713140594.27332</v>
      </c>
    </row>
    <row r="14" customFormat="false" ht="15" hidden="false" customHeight="true" outlineLevel="0" collapsed="false">
      <c r="B14" s="4" t="s">
        <v>157</v>
      </c>
      <c r="C14" s="16" t="s">
        <v>36</v>
      </c>
      <c r="D14" s="19" t="n">
        <f aca="false">SUM(D8:D13)</f>
        <v>-2050000000</v>
      </c>
      <c r="E14" s="19" t="n">
        <f aca="false">SUM(E8:E13)</f>
        <v>-579620731.707317</v>
      </c>
      <c r="F14" s="19" t="n">
        <f aca="false">SUM(F8:F13)</f>
        <v>171521778.04878</v>
      </c>
      <c r="G14" s="19" t="n">
        <f aca="false">SUM(G8:G13)</f>
        <v>496481671.591464</v>
      </c>
      <c r="H14" s="19" t="n">
        <f aca="false">SUM(H8:H13)</f>
        <v>777752331.752104</v>
      </c>
      <c r="I14" s="19" t="n">
        <f aca="false">SUM(I8:I13)</f>
        <v>810624936.680949</v>
      </c>
      <c r="J14" s="19" t="n">
        <f aca="false">SUM(J8:J13)</f>
        <v>844976808.831591</v>
      </c>
      <c r="K14" s="19" t="n">
        <f aca="false">SUM(K8:K13)</f>
        <v>880874515.229013</v>
      </c>
      <c r="L14" s="19" t="n">
        <f aca="false">SUM(L8:L13)</f>
        <v>918387618.414318</v>
      </c>
      <c r="M14" s="19" t="n">
        <f aca="false">SUM(M8:M13)</f>
        <v>957588811.242963</v>
      </c>
      <c r="N14" s="19" t="n">
        <f aca="false">SUM(N8:N13)</f>
        <v>3711694652.02221</v>
      </c>
    </row>
    <row r="15" customFormat="false" ht="15" hidden="false" customHeight="true" outlineLevel="0" collapsed="false">
      <c r="B15" s="8" t="s">
        <v>158</v>
      </c>
      <c r="C15" s="16" t="s">
        <v>36</v>
      </c>
      <c r="D15" s="19" t="n">
        <f aca="false">D14</f>
        <v>-2050000000</v>
      </c>
      <c r="E15" s="19" t="n">
        <f aca="false">D15+E14/(1+'1.Inputs'!$D$55)^E5</f>
        <v>-2568073589.29864</v>
      </c>
      <c r="F15" s="19" t="n">
        <f aca="false">E15+F14/(1+'1.Inputs'!$D$55)^F5</f>
        <v>-2431044000.4426</v>
      </c>
      <c r="G15" s="19" t="n">
        <f aca="false">F15+G14/(1+'1.Inputs'!$D$55)^G5</f>
        <v>-2076519831.73334</v>
      </c>
      <c r="H15" s="19" t="n">
        <f aca="false">G15+H14/(1+'1.Inputs'!$D$55)^H5</f>
        <v>-1580120153.83022</v>
      </c>
      <c r="I15" s="19" t="n">
        <f aca="false">H15+I14/(1+'1.Inputs'!$D$55)^I5</f>
        <v>-1117677727.66761</v>
      </c>
      <c r="J15" s="19" t="n">
        <f aca="false">I15+J14/(1+'1.Inputs'!$D$55)^J5</f>
        <v>-686823812.924727</v>
      </c>
      <c r="K15" s="19" t="n">
        <f aca="false">J15+K14/(1+'1.Inputs'!$D$55)^K5</f>
        <v>-285359596.418122</v>
      </c>
      <c r="L15" s="19" t="n">
        <f aca="false">K15+L14/(1+'1.Inputs'!$D$55)^L5</f>
        <v>88756469.1512565</v>
      </c>
      <c r="M15" s="19" t="n">
        <f aca="false">L15+M14/(1+'1.Inputs'!$D$55)^M5</f>
        <v>437420337.061626</v>
      </c>
      <c r="N15" s="19" t="n">
        <f aca="false">M15+N14/(1+'1.Inputs'!$D$55)^N5</f>
        <v>1645366737.93641</v>
      </c>
    </row>
    <row r="17" customFormat="false" ht="15" hidden="false" customHeight="true" outlineLevel="0" collapsed="false">
      <c r="B17" s="6" t="s">
        <v>159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customFormat="false" ht="15" hidden="false" customHeight="true" outlineLevel="0" collapsed="false">
      <c r="B18" s="8" t="s">
        <v>160</v>
      </c>
      <c r="C18" s="16" t="s">
        <v>36</v>
      </c>
      <c r="D18" s="19" t="n">
        <f aca="false">D14</f>
        <v>-2050000000</v>
      </c>
      <c r="E18" s="19" t="n">
        <f aca="false">E14</f>
        <v>-579620731.707317</v>
      </c>
      <c r="F18" s="19" t="n">
        <f aca="false">F14</f>
        <v>171521778.04878</v>
      </c>
      <c r="G18" s="19" t="n">
        <f aca="false">G14</f>
        <v>496481671.591464</v>
      </c>
      <c r="H18" s="19" t="n">
        <f aca="false">H14</f>
        <v>777752331.752104</v>
      </c>
      <c r="I18" s="19" t="n">
        <f aca="false">I14</f>
        <v>810624936.680949</v>
      </c>
      <c r="J18" s="19" t="n">
        <f aca="false">J14</f>
        <v>844976808.831591</v>
      </c>
      <c r="K18" s="19" t="n">
        <f aca="false">K14</f>
        <v>880874515.229013</v>
      </c>
      <c r="L18" s="19" t="n">
        <f aca="false">L14</f>
        <v>918387618.414318</v>
      </c>
      <c r="M18" s="19" t="n">
        <f aca="false">M14</f>
        <v>957588811.242963</v>
      </c>
      <c r="N18" s="19" t="n">
        <f aca="false">N14</f>
        <v>3711694652.02221</v>
      </c>
    </row>
    <row r="19" customFormat="false" ht="15" hidden="false" customHeight="true" outlineLevel="0" collapsed="false">
      <c r="B19" s="8" t="s">
        <v>161</v>
      </c>
      <c r="C19" s="16" t="s">
        <v>36</v>
      </c>
      <c r="D19" s="27" t="n">
        <f aca="false">'2.Estados'!D49</f>
        <v>1230000000</v>
      </c>
      <c r="E19" s="27" t="n">
        <f aca="false">'2.Estados'!E49</f>
        <v>0</v>
      </c>
      <c r="F19" s="27" t="n">
        <f aca="false">'2.Estados'!F49</f>
        <v>0</v>
      </c>
      <c r="G19" s="27" t="n">
        <f aca="false">'2.Estados'!G49</f>
        <v>0</v>
      </c>
      <c r="H19" s="27" t="n">
        <f aca="false">'2.Estados'!H49</f>
        <v>0</v>
      </c>
      <c r="I19" s="27" t="n">
        <f aca="false">'2.Estados'!I49</f>
        <v>0</v>
      </c>
      <c r="J19" s="27" t="n">
        <f aca="false">'2.Estados'!J49</f>
        <v>0</v>
      </c>
      <c r="K19" s="27" t="n">
        <f aca="false">'2.Estados'!K49</f>
        <v>0</v>
      </c>
      <c r="L19" s="27" t="n">
        <f aca="false">'2.Estados'!L49</f>
        <v>0</v>
      </c>
      <c r="M19" s="27" t="n">
        <f aca="false">'2.Estados'!M49</f>
        <v>0</v>
      </c>
      <c r="N19" s="27" t="n">
        <f aca="false">'2.Estados'!N49</f>
        <v>0</v>
      </c>
    </row>
    <row r="20" customFormat="false" ht="15" hidden="false" customHeight="true" outlineLevel="0" collapsed="false">
      <c r="B20" s="8" t="s">
        <v>162</v>
      </c>
      <c r="C20" s="16" t="s">
        <v>36</v>
      </c>
      <c r="D20" s="27" t="n">
        <f aca="false">-'2.Estados'!D56</f>
        <v>-0</v>
      </c>
      <c r="E20" s="27" t="n">
        <f aca="false">-'2.Estados'!E56</f>
        <v>-0</v>
      </c>
      <c r="F20" s="27" t="n">
        <f aca="false">-'2.Estados'!F56</f>
        <v>-0</v>
      </c>
      <c r="G20" s="27" t="n">
        <f aca="false">-'2.Estados'!G56</f>
        <v>-246000000</v>
      </c>
      <c r="H20" s="27" t="n">
        <f aca="false">-'2.Estados'!H56</f>
        <v>-246000000</v>
      </c>
      <c r="I20" s="27" t="n">
        <f aca="false">-'2.Estados'!I56</f>
        <v>-246000000</v>
      </c>
      <c r="J20" s="27" t="n">
        <f aca="false">-'2.Estados'!J56</f>
        <v>-246000000</v>
      </c>
      <c r="K20" s="27" t="n">
        <f aca="false">-'2.Estados'!K56</f>
        <v>-246000000</v>
      </c>
      <c r="L20" s="27" t="n">
        <f aca="false">-'2.Estados'!L56</f>
        <v>-0</v>
      </c>
      <c r="M20" s="27" t="n">
        <f aca="false">-'2.Estados'!M56</f>
        <v>-0</v>
      </c>
      <c r="N20" s="27" t="n">
        <f aca="false">-'2.Estados'!N56</f>
        <v>-0</v>
      </c>
    </row>
    <row r="21" customFormat="false" ht="15" hidden="false" customHeight="true" outlineLevel="0" collapsed="false">
      <c r="B21" s="8" t="s">
        <v>163</v>
      </c>
      <c r="C21" s="16" t="s">
        <v>36</v>
      </c>
      <c r="D21" s="27" t="n">
        <f aca="false">-'2.Estados'!D47</f>
        <v>-0</v>
      </c>
      <c r="E21" s="27" t="n">
        <f aca="false">-'2.Estados'!E47</f>
        <v>-147600000</v>
      </c>
      <c r="F21" s="27" t="n">
        <f aca="false">-'2.Estados'!F47</f>
        <v>-147600000</v>
      </c>
      <c r="G21" s="27" t="n">
        <f aca="false">-'2.Estados'!G47</f>
        <v>-147600000</v>
      </c>
      <c r="H21" s="27" t="n">
        <f aca="false">-'2.Estados'!H47</f>
        <v>-118080000</v>
      </c>
      <c r="I21" s="27" t="n">
        <f aca="false">-'2.Estados'!I47</f>
        <v>-88560000</v>
      </c>
      <c r="J21" s="27" t="n">
        <f aca="false">-'2.Estados'!J47</f>
        <v>-59040000</v>
      </c>
      <c r="K21" s="27" t="n">
        <f aca="false">-'2.Estados'!K47</f>
        <v>-29520000</v>
      </c>
      <c r="L21" s="27" t="n">
        <f aca="false">-'2.Estados'!L47</f>
        <v>-0</v>
      </c>
      <c r="M21" s="27" t="n">
        <f aca="false">-'2.Estados'!M47</f>
        <v>-0</v>
      </c>
      <c r="N21" s="27" t="n">
        <f aca="false">-'2.Estados'!N47</f>
        <v>-0</v>
      </c>
    </row>
    <row r="22" customFormat="false" ht="15" hidden="false" customHeight="true" outlineLevel="0" collapsed="false">
      <c r="B22" s="8" t="s">
        <v>164</v>
      </c>
      <c r="C22" s="16" t="s">
        <v>36</v>
      </c>
      <c r="D22" s="19" t="n">
        <f aca="false">MIN('2.Estados'!D47,MAX(0,'2.Estados'!D22))*'1.Inputs'!$D$53</f>
        <v>0</v>
      </c>
      <c r="E22" s="19" t="n">
        <f aca="false">MIN('2.Estados'!E47,MAX(0,'2.Estados'!E22))*'1.Inputs'!$D$53</f>
        <v>44279268.2926829</v>
      </c>
      <c r="F22" s="19" t="n">
        <f aca="false">MIN('2.Estados'!F47,MAX(0,'2.Estados'!F22))*'1.Inputs'!$D$53</f>
        <v>51660000</v>
      </c>
      <c r="G22" s="19" t="n">
        <f aca="false">MIN('2.Estados'!G47,MAX(0,'2.Estados'!G22))*'1.Inputs'!$D$53</f>
        <v>51660000</v>
      </c>
      <c r="H22" s="19" t="n">
        <f aca="false">MIN('2.Estados'!H47,MAX(0,'2.Estados'!H22))*'1.Inputs'!$D$53</f>
        <v>41328000</v>
      </c>
      <c r="I22" s="19" t="n">
        <f aca="false">MIN('2.Estados'!I47,MAX(0,'2.Estados'!I22))*'1.Inputs'!$D$53</f>
        <v>30996000</v>
      </c>
      <c r="J22" s="19" t="n">
        <f aca="false">MIN('2.Estados'!J47,MAX(0,'2.Estados'!J22))*'1.Inputs'!$D$53</f>
        <v>20664000</v>
      </c>
      <c r="K22" s="19" t="n">
        <f aca="false">MIN('2.Estados'!K47,MAX(0,'2.Estados'!K22))*'1.Inputs'!$D$53</f>
        <v>10332000</v>
      </c>
      <c r="L22" s="19" t="n">
        <f aca="false">MIN('2.Estados'!L47,MAX(0,'2.Estados'!L22))*'1.Inputs'!$D$53</f>
        <v>0</v>
      </c>
      <c r="M22" s="19" t="n">
        <f aca="false">MIN('2.Estados'!M47,MAX(0,'2.Estados'!M22))*'1.Inputs'!$D$53</f>
        <v>0</v>
      </c>
      <c r="N22" s="19" t="n">
        <f aca="false">MIN('2.Estados'!N47,MAX(0,'2.Estados'!N22))*'1.Inputs'!$D$53</f>
        <v>0</v>
      </c>
    </row>
    <row r="23" customFormat="false" ht="15" hidden="false" customHeight="true" outlineLevel="0" collapsed="false">
      <c r="B23" s="8" t="s">
        <v>165</v>
      </c>
      <c r="C23" s="16" t="s">
        <v>36</v>
      </c>
      <c r="D23" s="19" t="n">
        <f aca="false">-'1.Inputs'!$D$35</f>
        <v>-800000000</v>
      </c>
      <c r="E23" s="19" t="n">
        <f aca="false">0</f>
        <v>0</v>
      </c>
      <c r="F23" s="19" t="n">
        <f aca="false">0</f>
        <v>0</v>
      </c>
      <c r="G23" s="19" t="n">
        <f aca="false">0</f>
        <v>0</v>
      </c>
      <c r="H23" s="19" t="n">
        <f aca="false">0</f>
        <v>0</v>
      </c>
      <c r="I23" s="19" t="n">
        <f aca="false">0</f>
        <v>0</v>
      </c>
      <c r="J23" s="19" t="n">
        <f aca="false">0</f>
        <v>0</v>
      </c>
      <c r="K23" s="19" t="n">
        <f aca="false">0</f>
        <v>0</v>
      </c>
      <c r="L23" s="19" t="n">
        <f aca="false">0</f>
        <v>0</v>
      </c>
      <c r="M23" s="19" t="n">
        <f aca="false">0</f>
        <v>0</v>
      </c>
      <c r="N23" s="19" t="n">
        <f aca="false">'1.Inputs'!$D$35</f>
        <v>800000000</v>
      </c>
    </row>
    <row r="24" customFormat="false" ht="15" hidden="false" customHeight="true" outlineLevel="0" collapsed="false">
      <c r="B24" s="4" t="s">
        <v>166</v>
      </c>
      <c r="C24" s="16" t="s">
        <v>36</v>
      </c>
      <c r="D24" s="19" t="n">
        <f aca="false">SUM(D18:D23)</f>
        <v>-1620000000</v>
      </c>
      <c r="E24" s="19" t="n">
        <f aca="false">SUM(E18:E23)</f>
        <v>-682941463.414634</v>
      </c>
      <c r="F24" s="19" t="n">
        <f aca="false">SUM(F18:F23)</f>
        <v>75581778.0487802</v>
      </c>
      <c r="G24" s="19" t="n">
        <f aca="false">SUM(G18:G23)</f>
        <v>154541671.591464</v>
      </c>
      <c r="H24" s="19" t="n">
        <f aca="false">SUM(H18:H23)</f>
        <v>455000331.752104</v>
      </c>
      <c r="I24" s="19" t="n">
        <f aca="false">SUM(I18:I23)</f>
        <v>507060936.680949</v>
      </c>
      <c r="J24" s="19" t="n">
        <f aca="false">SUM(J18:J23)</f>
        <v>560600808.831591</v>
      </c>
      <c r="K24" s="19" t="n">
        <f aca="false">SUM(K18:K23)</f>
        <v>615686515.229013</v>
      </c>
      <c r="L24" s="19" t="n">
        <f aca="false">SUM(L18:L23)</f>
        <v>918387618.414318</v>
      </c>
      <c r="M24" s="19" t="n">
        <f aca="false">SUM(M18:M23)</f>
        <v>957588811.242963</v>
      </c>
      <c r="N24" s="19" t="n">
        <f aca="false">SUM(N18:N23)</f>
        <v>4511694652.02221</v>
      </c>
    </row>
    <row r="26" customFormat="false" ht="15" hidden="false" customHeight="true" outlineLevel="0" collapsed="false">
      <c r="B26" s="6" t="s">
        <v>167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customFormat="false" ht="15" hidden="false" customHeight="true" outlineLevel="0" collapsed="false">
      <c r="B27" s="8" t="s">
        <v>168</v>
      </c>
      <c r="C27" s="16" t="s">
        <v>36</v>
      </c>
      <c r="D27" s="19" t="n">
        <f aca="false">D8+D9+D10+D11</f>
        <v>0</v>
      </c>
      <c r="E27" s="19" t="n">
        <f aca="false">E8+E9+E10+E11</f>
        <v>-579620731.707317</v>
      </c>
      <c r="F27" s="19" t="n">
        <f aca="false">F8+F9+F10+F11</f>
        <v>171521778.04878</v>
      </c>
      <c r="G27" s="19" t="n">
        <f aca="false">G8+G9+G10+G11</f>
        <v>496481671.591464</v>
      </c>
      <c r="H27" s="19" t="n">
        <f aca="false">H8+H9+H10+H11</f>
        <v>777752331.752104</v>
      </c>
      <c r="I27" s="19" t="n">
        <f aca="false">I8+I9+I10+I11</f>
        <v>810624936.680949</v>
      </c>
      <c r="J27" s="19" t="n">
        <f aca="false">J8+J9+J10+J11</f>
        <v>844976808.831591</v>
      </c>
      <c r="K27" s="19" t="n">
        <f aca="false">K8+K9+K10+K11</f>
        <v>880874515.229013</v>
      </c>
      <c r="L27" s="19" t="n">
        <f aca="false">L8+L9+L10+L11</f>
        <v>918387618.414318</v>
      </c>
      <c r="M27" s="19" t="n">
        <f aca="false">M8+M9+M10+M11</f>
        <v>957588811.242963</v>
      </c>
      <c r="N27" s="19" t="n">
        <f aca="false">N8+N9+N10+N11</f>
        <v>998554057.748895</v>
      </c>
    </row>
    <row r="28" customFormat="false" ht="15" hidden="false" customHeight="true" outlineLevel="0" collapsed="false">
      <c r="B28" s="8" t="s">
        <v>169</v>
      </c>
      <c r="C28" s="16" t="s">
        <v>36</v>
      </c>
      <c r="D28" s="19" t="n">
        <f aca="false">'2.Estados'!D56+'2.Estados'!D47</f>
        <v>0</v>
      </c>
      <c r="E28" s="19" t="n">
        <f aca="false">'2.Estados'!E56+'2.Estados'!E47</f>
        <v>147600000</v>
      </c>
      <c r="F28" s="19" t="n">
        <f aca="false">'2.Estados'!F56+'2.Estados'!F47</f>
        <v>147600000</v>
      </c>
      <c r="G28" s="19" t="n">
        <f aca="false">'2.Estados'!G56+'2.Estados'!G47</f>
        <v>393600000</v>
      </c>
      <c r="H28" s="19" t="n">
        <f aca="false">'2.Estados'!H56+'2.Estados'!H47</f>
        <v>364080000</v>
      </c>
      <c r="I28" s="19" t="n">
        <f aca="false">'2.Estados'!I56+'2.Estados'!I47</f>
        <v>334560000</v>
      </c>
      <c r="J28" s="19" t="n">
        <f aca="false">'2.Estados'!J56+'2.Estados'!J47</f>
        <v>305040000</v>
      </c>
      <c r="K28" s="19" t="n">
        <f aca="false">'2.Estados'!K56+'2.Estados'!K47</f>
        <v>275520000</v>
      </c>
      <c r="L28" s="19" t="n">
        <f aca="false">'2.Estados'!L56+'2.Estados'!L47</f>
        <v>0</v>
      </c>
      <c r="M28" s="19" t="n">
        <f aca="false">'2.Estados'!M56+'2.Estados'!M47</f>
        <v>0</v>
      </c>
      <c r="N28" s="19" t="n">
        <f aca="false">'2.Estados'!N56+'2.Estados'!N47</f>
        <v>0</v>
      </c>
    </row>
    <row r="29" customFormat="false" ht="15" hidden="false" customHeight="true" outlineLevel="0" collapsed="false">
      <c r="B29" s="8" t="s">
        <v>167</v>
      </c>
      <c r="D29" s="28" t="str">
        <f aca="false">IF(D28=0,"",D27/D28)</f>
        <v/>
      </c>
      <c r="E29" s="28" t="n">
        <f aca="false">IF(E28=0,"",E27/E28)</f>
        <v>-3.92696972701434</v>
      </c>
      <c r="F29" s="28" t="n">
        <f aca="false">IF(F28=0,"",F27/F28)</f>
        <v>1.16207166699716</v>
      </c>
      <c r="G29" s="28" t="n">
        <f aca="false">IF(G28=0,"",G27/G28)</f>
        <v>1.26138636075067</v>
      </c>
      <c r="H29" s="28" t="n">
        <f aca="false">IF(H28=0,"",H27/H28)</f>
        <v>2.13621273278429</v>
      </c>
      <c r="I29" s="28" t="n">
        <f aca="false">IF(I28=0,"",I27/I28)</f>
        <v>2.42295832341269</v>
      </c>
      <c r="J29" s="28" t="n">
        <f aca="false">IF(J28=0,"",J27/J28)</f>
        <v>2.77005248108966</v>
      </c>
      <c r="K29" s="28" t="n">
        <f aca="false">IF(K28=0,"",K27/K28)</f>
        <v>3.19713456456523</v>
      </c>
      <c r="L29" s="28" t="str">
        <f aca="false">IF(L28=0,"",L27/L28)</f>
        <v/>
      </c>
      <c r="M29" s="28" t="str">
        <f aca="false">IF(M28=0,"",M27/M28)</f>
        <v/>
      </c>
      <c r="N29" s="28" t="str">
        <f aca="false">IF(N28=0,"",N27/N28)</f>
        <v/>
      </c>
    </row>
    <row r="31" customFormat="false" ht="15" hidden="false" customHeight="true" outlineLevel="0" collapsed="false">
      <c r="B31" s="6" t="s">
        <v>170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customFormat="false" ht="15" hidden="false" customHeight="true" outlineLevel="0" collapsed="false">
      <c r="B32" s="8" t="s">
        <v>171</v>
      </c>
      <c r="D32" s="25" t="n">
        <f aca="false">'1.Inputs'!D31</f>
        <v>0.6</v>
      </c>
    </row>
    <row r="33" customFormat="false" ht="15" hidden="false" customHeight="true" outlineLevel="0" collapsed="false">
      <c r="B33" s="8" t="s">
        <v>172</v>
      </c>
      <c r="D33" s="12" t="n">
        <f aca="false">'1.Inputs'!D32*(1-'1.Inputs'!D53)</f>
        <v>0.078</v>
      </c>
    </row>
    <row r="34" customFormat="false" ht="15" hidden="false" customHeight="true" outlineLevel="0" collapsed="false">
      <c r="B34" s="8" t="s">
        <v>173</v>
      </c>
      <c r="D34" s="12" t="n">
        <f aca="false">1-'1.Inputs'!D31</f>
        <v>0.4</v>
      </c>
    </row>
    <row r="35" customFormat="false" ht="15" hidden="false" customHeight="true" outlineLevel="0" collapsed="false">
      <c r="B35" s="8" t="s">
        <v>174</v>
      </c>
      <c r="D35" s="25" t="n">
        <f aca="false">'1.Inputs'!D54</f>
        <v>0.18</v>
      </c>
    </row>
    <row r="36" customFormat="false" ht="15" hidden="false" customHeight="true" outlineLevel="0" collapsed="false">
      <c r="B36" s="4" t="s">
        <v>175</v>
      </c>
      <c r="D36" s="12" t="n">
        <f aca="false">D32*D33+D34*D35</f>
        <v>0.1188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176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customFormat="false" ht="15" hidden="false" customHeight="true" outlineLevel="0" collapsed="false">
      <c r="B3" s="29" t="str">
        <f aca="false">"Escenario activo: "&amp;CHOOSE('1.Inputs'!D6,"BASE","OPTIMISTA","PESIMISTA")</f>
        <v>Escenario activo: BASE</v>
      </c>
    </row>
    <row r="5" customFormat="false" ht="15" hidden="false" customHeight="true" outlineLevel="0" collapsed="false">
      <c r="B5" s="6" t="s">
        <v>177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customFormat="false" ht="15" hidden="false" customHeight="true" outlineLevel="0" collapsed="false">
      <c r="B6" s="8" t="s">
        <v>175</v>
      </c>
      <c r="D6" s="25" t="n">
        <f aca="false">'3.FCL_WACC'!D36</f>
        <v>0.1188</v>
      </c>
    </row>
    <row r="7" customFormat="false" ht="15" hidden="false" customHeight="true" outlineLevel="0" collapsed="false">
      <c r="B7" s="8" t="s">
        <v>178</v>
      </c>
      <c r="C7" s="16" t="s">
        <v>36</v>
      </c>
      <c r="D7" s="19" t="n">
        <f aca="false">'3.FCL_WACC'!D14+NPV('3.FCL_WACC'!D36,'3.FCL_WACC'!E14:N14)</f>
        <v>1645366737.93641</v>
      </c>
    </row>
    <row r="8" customFormat="false" ht="15" hidden="false" customHeight="true" outlineLevel="0" collapsed="false">
      <c r="B8" s="8" t="s">
        <v>179</v>
      </c>
      <c r="D8" s="12" t="n">
        <f aca="false">IFERROR(IRR('3.FCL_WACC'!D14:N14),"N/A")</f>
        <v>0.207584071535938</v>
      </c>
    </row>
    <row r="9" customFormat="false" ht="15" hidden="false" customHeight="true" outlineLevel="0" collapsed="false">
      <c r="B9" s="8" t="s">
        <v>180</v>
      </c>
      <c r="D9" s="12" t="n">
        <f aca="false">IFERROR(MIRR('3.FCL_WACC'!D14:N14,'1.Inputs'!D32,'3.FCL_WACC'!D36),"N/A")</f>
        <v>0.17561409427791</v>
      </c>
    </row>
    <row r="10" customFormat="false" ht="15" hidden="false" customHeight="true" outlineLevel="0" collapsed="false">
      <c r="B10" s="8" t="s">
        <v>181</v>
      </c>
      <c r="D10" s="30" t="n">
        <f aca="false">NPV('3.FCL_WACC'!D36,'3.FCL_WACC'!E14:N14)/-'3.FCL_WACC'!D14</f>
        <v>1.80261792094459</v>
      </c>
    </row>
    <row r="11" customFormat="false" ht="15" hidden="false" customHeight="true" outlineLevel="0" collapsed="false">
      <c r="B11" s="8" t="s">
        <v>182</v>
      </c>
      <c r="C11" s="16" t="s">
        <v>46</v>
      </c>
      <c r="D11" s="23" t="n">
        <f aca="false">IFERROR(MATCH(TRUE(),INDEX('3.FCL_WACC'!E15:N15&gt;=0,0),0),"No recupera")</f>
        <v>8</v>
      </c>
    </row>
    <row r="13" customFormat="false" ht="15" hidden="false" customHeight="true" outlineLevel="0" collapsed="false">
      <c r="B13" s="6" t="s">
        <v>183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customFormat="false" ht="15" hidden="false" customHeight="true" outlineLevel="0" collapsed="false">
      <c r="B14" s="8" t="s">
        <v>174</v>
      </c>
      <c r="D14" s="25" t="n">
        <f aca="false">'1.Inputs'!D54</f>
        <v>0.18</v>
      </c>
    </row>
    <row r="15" customFormat="false" ht="15" hidden="false" customHeight="true" outlineLevel="0" collapsed="false">
      <c r="B15" s="8" t="s">
        <v>184</v>
      </c>
      <c r="C15" s="16" t="s">
        <v>36</v>
      </c>
      <c r="D15" s="19" t="n">
        <f aca="false">'3.FCL_WACC'!D24+NPV('1.Inputs'!D54,'3.FCL_WACC'!E24:N24)</f>
        <v>129090184.842932</v>
      </c>
    </row>
    <row r="16" customFormat="false" ht="15" hidden="false" customHeight="true" outlineLevel="0" collapsed="false">
      <c r="B16" s="8" t="s">
        <v>185</v>
      </c>
      <c r="D16" s="12" t="n">
        <f aca="false">IFERROR(IRR('3.FCL_WACC'!D24:N24),"N/A")</f>
        <v>0.189316509594026</v>
      </c>
    </row>
    <row r="18" customFormat="false" ht="15" hidden="false" customHeight="true" outlineLevel="0" collapsed="false">
      <c r="B18" s="6" t="s">
        <v>186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customFormat="false" ht="15" hidden="false" customHeight="true" outlineLevel="0" collapsed="false">
      <c r="B19" s="8" t="s">
        <v>187</v>
      </c>
      <c r="D19" s="28" t="n">
        <f aca="false">MIN('3.FCL_WACC'!E29:N29)</f>
        <v>-3.92696972701434</v>
      </c>
    </row>
    <row r="20" customFormat="false" ht="15" hidden="false" customHeight="true" outlineLevel="0" collapsed="false">
      <c r="B20" s="8" t="s">
        <v>188</v>
      </c>
      <c r="C20" s="16" t="s">
        <v>36</v>
      </c>
      <c r="D20" s="19" t="n">
        <f aca="false">MIN('2.Estados'!D60:N60)</f>
        <v>117058536.585366</v>
      </c>
    </row>
    <row r="21" customFormat="false" ht="15" hidden="false" customHeight="true" outlineLevel="0" collapsed="false">
      <c r="B21" s="8" t="s">
        <v>189</v>
      </c>
      <c r="C21" s="16" t="s">
        <v>36</v>
      </c>
      <c r="D21" s="19" t="n">
        <f aca="false">'2.Estados'!E29</f>
        <v>-21087804.8780489</v>
      </c>
    </row>
    <row r="22" customFormat="false" ht="15" hidden="false" customHeight="true" outlineLevel="0" collapsed="false">
      <c r="B22" s="8" t="s">
        <v>190</v>
      </c>
      <c r="D22" s="28" t="n">
        <f aca="false">MIN('3.FCL_WACC'!G29:N29)</f>
        <v>1.26138636075067</v>
      </c>
    </row>
    <row r="23" customFormat="false" ht="15" hidden="false" customHeight="true" outlineLevel="0" collapsed="false">
      <c r="B23" s="6" t="s">
        <v>191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customFormat="false" ht="15" hidden="false" customHeight="true" outlineLevel="0" collapsed="false">
      <c r="B24" s="8" t="s">
        <v>192</v>
      </c>
      <c r="D24" s="31" t="str">
        <f aca="false">IF(D7&gt;0,"ACEPTAR — crea valor","RECHAZAR — destruye valor")</f>
        <v>ACEPTAR — crea valor</v>
      </c>
      <c r="E24" s="31"/>
      <c r="F24" s="31"/>
      <c r="G24" s="31"/>
      <c r="H24" s="31"/>
      <c r="I24" s="31"/>
      <c r="J24" s="31"/>
      <c r="K24" s="31"/>
    </row>
    <row r="25" customFormat="false" ht="15" hidden="false" customHeight="true" outlineLevel="0" collapsed="false">
      <c r="B25" s="8" t="s">
        <v>193</v>
      </c>
      <c r="D25" s="31" t="str">
        <f aca="false">IF(AND(ISNUMBER(D16),ISNUMBER(D8)),IF(D16&gt;D8,"TIR accionista &gt; TIR proyecto: apalancamiento favorable","Apalancamiento no amplifica"),"N/A")</f>
        <v>Apalancamiento no amplifica</v>
      </c>
      <c r="E25" s="31"/>
      <c r="F25" s="31"/>
      <c r="G25" s="31"/>
      <c r="H25" s="31"/>
      <c r="I25" s="31"/>
      <c r="J25" s="31"/>
      <c r="K25" s="31"/>
    </row>
    <row r="26" customFormat="false" ht="15" hidden="false" customHeight="true" outlineLevel="0" collapsed="false">
      <c r="B26" s="8" t="s">
        <v>194</v>
      </c>
      <c r="D26" s="32" t="n">
        <f aca="false">'1.Inputs'!D57</f>
        <v>1.2</v>
      </c>
    </row>
    <row r="28" customFormat="false" ht="15" hidden="false" customHeight="false" outlineLevel="0" collapsed="false">
      <c r="B28" s="33" t="s">
        <v>195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</row>
    <row r="29" customFormat="false" ht="15" hidden="false" customHeight="false" outlineLevel="0" collapsed="false">
      <c r="B29" s="35" t="s">
        <v>196</v>
      </c>
      <c r="D29" s="36" t="n">
        <f aca="false">IF(ISNUMBER(D8),D8-D6,"N/A")</f>
        <v>0.0887840715359381</v>
      </c>
    </row>
    <row r="30" customFormat="false" ht="15" hidden="false" customHeight="false" outlineLevel="0" collapsed="false">
      <c r="B30" s="35" t="s">
        <v>197</v>
      </c>
      <c r="D30" s="36" t="n">
        <f aca="false">IF(ISNUMBER(D16),D16-D14,"N/A")</f>
        <v>0.0093165095940263</v>
      </c>
    </row>
    <row r="31" customFormat="false" ht="15" hidden="false" customHeight="false" outlineLevel="0" collapsed="false">
      <c r="B31" s="35" t="s">
        <v>198</v>
      </c>
      <c r="D31" s="37" t="n">
        <f aca="false">D22-D26</f>
        <v>0.0613863607506697</v>
      </c>
    </row>
    <row r="32" customFormat="false" ht="15" hidden="false" customHeight="false" outlineLevel="0" collapsed="false">
      <c r="B32" s="38" t="s">
        <v>199</v>
      </c>
      <c r="D32" s="39" t="str">
        <f aca="false">IF('5.Checks'!D34="MODELO CON ERRORES","MODELO INVÁLIDO — no decidir sobre estas cifras",IF(D7&lt;=0,"RECHAZAR — el proyecto destruye valor",IF(D15&lt;=0,"RENEGOCIAR ESTRUCTURA — el proyecto crea valor pero el accionista destruye",IF(OR(D30&lt;0.02,D31&lt;0.1),"ACEPTAR CON MONITOREO — holguras limitadas en accionista y/o covenant","ACEPTAR"))))</f>
        <v>ACEPTAR CON MONITOREO — holguras limitadas en accionista y/o covenant</v>
      </c>
      <c r="E32" s="39"/>
      <c r="F32" s="39"/>
      <c r="G32" s="39"/>
      <c r="H32" s="39"/>
      <c r="I32" s="39"/>
      <c r="J32" s="39"/>
      <c r="K32" s="39"/>
      <c r="L32" s="39"/>
      <c r="M32" s="39"/>
    </row>
    <row r="33" customFormat="false" ht="15" hidden="false" customHeight="false" outlineLevel="0" collapsed="false">
      <c r="B33" s="35" t="s">
        <v>200</v>
      </c>
      <c r="D33" s="40" t="str">
        <f aca="false">IF('5.Checks'!D34="MODELO CON ERRORES","⬛ INVÁLIDO",IF(D7&lt;=0,"🟥 ROJO",IF(OR(D15&lt;=0,D30&lt;0.02,D31&lt;0.1),"🟨 AMARILLO","🟩 VERDE")))</f>
        <v>🟨 AMARILLO</v>
      </c>
    </row>
    <row r="35" customFormat="false" ht="15" hidden="false" customHeight="false" outlineLevel="0" collapsed="false">
      <c r="B35" s="33" t="s">
        <v>201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  <row r="36" customFormat="false" ht="25.5" hidden="false" customHeight="true" outlineLevel="0" collapsed="false">
      <c r="B36" s="35" t="s">
        <v>202</v>
      </c>
      <c r="D36" s="41" t="s">
        <v>203</v>
      </c>
      <c r="E36" s="41"/>
      <c r="F36" s="41"/>
      <c r="G36" s="41"/>
      <c r="H36" s="41"/>
      <c r="I36" s="41"/>
      <c r="J36" s="41"/>
      <c r="K36" s="41"/>
      <c r="L36" s="41"/>
      <c r="M36" s="41"/>
    </row>
    <row r="37" customFormat="false" ht="25.5" hidden="false" customHeight="true" outlineLevel="0" collapsed="false">
      <c r="B37" s="35" t="s">
        <v>204</v>
      </c>
      <c r="D37" s="41" t="s">
        <v>205</v>
      </c>
      <c r="E37" s="41"/>
      <c r="F37" s="41"/>
      <c r="G37" s="41"/>
      <c r="H37" s="41"/>
      <c r="I37" s="41"/>
      <c r="J37" s="41"/>
      <c r="K37" s="41"/>
      <c r="L37" s="41"/>
      <c r="M37" s="41"/>
    </row>
  </sheetData>
  <mergeCells count="5">
    <mergeCell ref="D24:K24"/>
    <mergeCell ref="D25:K25"/>
    <mergeCell ref="D32:M32"/>
    <mergeCell ref="D36:M36"/>
    <mergeCell ref="D37:M3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8"/>
    <col collapsed="false" customWidth="true" hidden="false" outlineLevel="0" max="3" min="3" style="1" width="9"/>
    <col collapsed="false" customWidth="true" hidden="false" outlineLevel="0" max="5" min="4" style="1" width="12"/>
    <col collapsed="false" customWidth="true" hidden="false" outlineLevel="0" max="6" min="6" style="1" width="18"/>
    <col collapsed="false" customWidth="true" hidden="false" outlineLevel="0" max="15" min="7" style="1" width="12"/>
  </cols>
  <sheetData>
    <row r="2" customFormat="false" ht="15" hidden="false" customHeight="true" outlineLevel="0" collapsed="false">
      <c r="B2" s="2" t="s">
        <v>206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15" hidden="false" customHeight="true" outlineLevel="0" collapsed="false">
      <c r="B4" s="4" t="s">
        <v>207</v>
      </c>
      <c r="D4" s="4" t="s">
        <v>208</v>
      </c>
      <c r="F4" s="4" t="s">
        <v>209</v>
      </c>
    </row>
    <row r="5" customFormat="false" ht="15" hidden="false" customHeight="true" outlineLevel="0" collapsed="false">
      <c r="B5" s="8" t="s">
        <v>210</v>
      </c>
      <c r="D5" s="10" t="str">
        <f aca="false">IF(SUMPRODUCT(('2.Estados'!D79:N79)*('2.Estados'!D79:N79))&lt;1,"OK","ERROR")</f>
        <v>OK</v>
      </c>
      <c r="F5" s="19" t="n">
        <f aca="false">SUMPRODUCT(('2.Estados'!D79:N79)*('2.Estados'!D79:N79))</f>
        <v>0</v>
      </c>
    </row>
    <row r="6" customFormat="false" ht="15" hidden="false" customHeight="true" outlineLevel="0" collapsed="false">
      <c r="B6" s="8" t="s">
        <v>211</v>
      </c>
      <c r="D6" s="10" t="str">
        <f aca="false">IF(MIN('2.Estados'!D60:N60)&gt;=0,"OK","ALERTA")</f>
        <v>OK</v>
      </c>
      <c r="F6" s="19" t="n">
        <f aca="false">MIN('2.Estados'!D60:N60)</f>
        <v>117058536.585366</v>
      </c>
    </row>
    <row r="7" customFormat="false" ht="15" hidden="false" customHeight="true" outlineLevel="0" collapsed="false">
      <c r="B7" s="8" t="s">
        <v>212</v>
      </c>
      <c r="D7" s="10" t="str">
        <f aca="false">IF(ABS('2.Estados'!N57)&lt;1,"OK","ERROR")</f>
        <v>OK</v>
      </c>
      <c r="F7" s="19" t="n">
        <f aca="false">'2.Estados'!N57</f>
        <v>0</v>
      </c>
    </row>
    <row r="8" customFormat="false" ht="15" hidden="false" customHeight="true" outlineLevel="0" collapsed="false">
      <c r="B8" s="8" t="s">
        <v>213</v>
      </c>
      <c r="D8" s="10" t="str">
        <f aca="false">IF(ABS('2.Estados'!D49+'2.Estados'!D51-'1.Inputs'!D24-'1.Inputs'!D35)&lt;1,"OK","ERROR")</f>
        <v>OK</v>
      </c>
      <c r="F8" s="19" t="n">
        <f aca="false">'2.Estados'!D49+'2.Estados'!D51</f>
        <v>2850000000</v>
      </c>
    </row>
    <row r="9" customFormat="false" ht="15" hidden="false" customHeight="true" outlineLevel="0" collapsed="false">
      <c r="B9" s="8" t="s">
        <v>214</v>
      </c>
      <c r="D9" s="10" t="str">
        <f aca="false">IF(ABS('2.Estados'!D60-'1.Inputs'!D35)&lt;1,"OK","ERROR")</f>
        <v>OK</v>
      </c>
      <c r="F9" s="19" t="n">
        <f aca="false">'2.Estados'!D60</f>
        <v>800000000</v>
      </c>
    </row>
    <row r="10" customFormat="false" ht="15" hidden="false" customHeight="true" outlineLevel="0" collapsed="false">
      <c r="B10" s="8" t="s">
        <v>215</v>
      </c>
      <c r="D10" s="10" t="str">
        <f aca="false">IF(SUM('2.Estados'!E11:N11)&gt;SUM('2.Estados'!E10:N10),"OK","ERROR")</f>
        <v>OK</v>
      </c>
      <c r="F10" s="19" t="n">
        <f aca="false">SUM('2.Estados'!E11:N11)-SUM('2.Estados'!E10:N10)</f>
        <v>421463.414634146</v>
      </c>
    </row>
    <row r="11" customFormat="false" ht="15" hidden="false" customHeight="true" outlineLevel="0" collapsed="false">
      <c r="B11" s="8" t="s">
        <v>216</v>
      </c>
      <c r="D11" s="10" t="str">
        <f aca="false">IF(ABS('2.Estados'!N66-('1.Inputs'!D23+'1.Inputs'!D20*'1.Inputs'!D10/'1.Inputs'!D27))&lt;1,"OK","ERROR")</f>
        <v>OK</v>
      </c>
      <c r="F11" s="19" t="n">
        <f aca="false">'2.Estados'!N66</f>
        <v>1350000000</v>
      </c>
    </row>
    <row r="12" customFormat="false" ht="15" hidden="false" customHeight="true" outlineLevel="0" collapsed="false">
      <c r="B12" s="8" t="s">
        <v>217</v>
      </c>
      <c r="D12" s="10" t="str">
        <f aca="false">IF(ABS('3.FCL_WACC'!D14+'1.Inputs'!D24)&lt;1,"OK","ERROR")</f>
        <v>OK</v>
      </c>
      <c r="F12" s="19" t="n">
        <f aca="false">'3.FCL_WACC'!D14</f>
        <v>-2050000000</v>
      </c>
    </row>
    <row r="13" customFormat="false" ht="15" hidden="false" customHeight="true" outlineLevel="0" collapsed="false">
      <c r="B13" s="8" t="s">
        <v>218</v>
      </c>
      <c r="D13" s="10" t="str">
        <f aca="false">IF(ABS('3.FCL_WACC'!D24+'2.Estados'!D51)&lt;1,"OK","ERROR")</f>
        <v>OK</v>
      </c>
      <c r="F13" s="19" t="n">
        <f aca="false">'3.FCL_WACC'!D24</f>
        <v>-1620000000</v>
      </c>
    </row>
    <row r="14" customFormat="false" ht="15" hidden="false" customHeight="true" outlineLevel="0" collapsed="false">
      <c r="B14" s="8" t="s">
        <v>219</v>
      </c>
      <c r="D14" s="10" t="str">
        <f aca="false">IF(ABS('1.Inputs'!D55-'3.FCL_WACC'!D36)&lt;0.0001,"OK","ERROR")</f>
        <v>OK</v>
      </c>
      <c r="F14" s="19" t="n">
        <f aca="false">'3.FCL_WACC'!D36</f>
        <v>0.1188</v>
      </c>
    </row>
    <row r="15" customFormat="false" ht="15" hidden="false" customHeight="true" outlineLevel="0" collapsed="false">
      <c r="B15" s="8" t="s">
        <v>220</v>
      </c>
      <c r="D15" s="10" t="str">
        <f aca="false">IF('4.Outputs'!D22&gt;'1.Inputs'!D57,"OK","ALERTA")</f>
        <v>OK</v>
      </c>
      <c r="F15" s="19" t="n">
        <f aca="false">'4.Outputs'!D22</f>
        <v>1.26138636075067</v>
      </c>
    </row>
    <row r="16" customFormat="false" ht="15" hidden="false" customHeight="true" outlineLevel="0" collapsed="false">
      <c r="B16" s="8" t="s">
        <v>221</v>
      </c>
      <c r="D16" s="10" t="str">
        <f aca="false">IF(MIN('2.Estados'!E60:F60)&gt;=0,"OK","ALERTA")</f>
        <v>OK</v>
      </c>
      <c r="F16" s="19" t="n">
        <f aca="false">MIN('2.Estados'!E60:F60)</f>
        <v>117058536.585366</v>
      </c>
    </row>
    <row r="17" customFormat="false" ht="15" hidden="false" customHeight="true" outlineLevel="0" collapsed="false">
      <c r="B17" s="8" t="s">
        <v>222</v>
      </c>
      <c r="D17" s="10" t="str">
        <f aca="false">IF(AND('1.Inputs'!D6&gt;=1,'1.Inputs'!D6&lt;=3),"OK","ERROR")</f>
        <v>OK</v>
      </c>
      <c r="F17" s="19" t="n">
        <f aca="false">'1.Inputs'!D6</f>
        <v>1</v>
      </c>
    </row>
    <row r="18" customFormat="false" ht="15" hidden="false" customHeight="true" outlineLevel="0" collapsed="false">
      <c r="B18" s="8" t="s">
        <v>223</v>
      </c>
      <c r="D18" s="10" t="str">
        <f aca="false">IF('1.Inputs'!D34&lt;'1.Inputs'!D33,"OK","ERROR")</f>
        <v>OK</v>
      </c>
      <c r="F18" s="19" t="n">
        <f aca="false">'1.Inputs'!D34</f>
        <v>2</v>
      </c>
    </row>
    <row r="19" customFormat="false" ht="15" hidden="false" customHeight="true" outlineLevel="0" collapsed="false">
      <c r="B19" s="8" t="s">
        <v>224</v>
      </c>
      <c r="D19" s="10" t="str">
        <f aca="false">IF(MIN('2.Estados'!D27:N27)&gt;=0,"OK","ERROR")</f>
        <v>OK</v>
      </c>
      <c r="F19" s="19" t="n">
        <f aca="false">MIN('2.Estados'!D27:N27)</f>
        <v>0</v>
      </c>
    </row>
    <row r="20" customFormat="false" ht="15" hidden="false" customHeight="true" outlineLevel="0" collapsed="false">
      <c r="B20" s="8" t="s">
        <v>225</v>
      </c>
      <c r="D20" s="10" t="str">
        <f aca="false">IF(SUM('2.Estados'!E26:N26)&lt;=SUM('2.Estados'!E25:N25)+1,"OK","ERROR")</f>
        <v>OK</v>
      </c>
      <c r="F20" s="19" t="n">
        <f aca="false">SUM('2.Estados'!E26:N26)</f>
        <v>21087804.8780489</v>
      </c>
    </row>
    <row r="21" customFormat="false" ht="15" hidden="false" customHeight="true" outlineLevel="0" collapsed="false">
      <c r="B21" s="8" t="s">
        <v>226</v>
      </c>
      <c r="D21" s="10" t="str">
        <f aca="false">IF(SUMPRODUCT(('2.Estados'!E30:N30&gt;'2.Estados'!D60:M60+1)*('2.Estados'!E30:N30&gt;0))=0,"OK","ERROR")</f>
        <v>OK</v>
      </c>
      <c r="F21" s="19" t="n">
        <f aca="false">MAX('2.Estados'!E30:N30)</f>
        <v>285073296.772218</v>
      </c>
    </row>
    <row r="22" customFormat="false" ht="15" hidden="false" customHeight="true" outlineLevel="0" collapsed="false">
      <c r="B22" s="8" t="s">
        <v>227</v>
      </c>
      <c r="D22" s="10" t="str">
        <f aca="false">IF(MAX('2.Estados'!D9:N9)&lt;=1,"OK","ERROR")</f>
        <v>OK</v>
      </c>
      <c r="F22" s="19" t="n">
        <f aca="false">MAX('2.Estados'!D9:N9)</f>
        <v>0.85</v>
      </c>
    </row>
    <row r="23" customFormat="false" ht="15" hidden="false" customHeight="true" outlineLevel="0" collapsed="false">
      <c r="B23" s="8" t="s">
        <v>228</v>
      </c>
      <c r="D23" s="10" t="str">
        <f aca="false">IF(SUMPRODUCT(('2.Estados'!D23:N23-'2.Estados'!D47:N47)*('2.Estados'!D23:N23-'2.Estados'!D47:N47))&lt;1,"OK","ERROR")</f>
        <v>OK</v>
      </c>
      <c r="F23" s="19" t="n">
        <f aca="false">SUMPRODUCT(('2.Estados'!D23:N23-'2.Estados'!D47:N47)*('2.Estados'!D23:N23-'2.Estados'!D47:N47))</f>
        <v>0</v>
      </c>
    </row>
    <row r="24" customFormat="false" ht="15" hidden="false" customHeight="true" outlineLevel="0" collapsed="false">
      <c r="B24" s="8" t="s">
        <v>229</v>
      </c>
      <c r="D24" s="10" t="str">
        <f aca="false">IF(SUMPRODUCT(('2.Estados'!D38:N38-('2.Estados'!D33:N33+'2.Estados'!D34:N34-'2.Estados'!D35:N35))*('2.Estados'!D38:N38-('2.Estados'!D33:N33+'2.Estados'!D34:N34-'2.Estados'!D35:N35)))&lt;1,"OK","ERROR")</f>
        <v>OK</v>
      </c>
      <c r="F24" s="19" t="n">
        <f aca="false">'2.Estados'!N38</f>
        <v>2013140594.27332</v>
      </c>
    </row>
    <row r="25" customFormat="false" ht="15" hidden="false" customHeight="true" outlineLevel="0" collapsed="false">
      <c r="B25" s="8" t="s">
        <v>230</v>
      </c>
      <c r="D25" s="10" t="str">
        <f aca="false">IF(ABS(SUM('3.FCL_WACC'!D11:N11)+'2.Estados'!N38)&lt;1,"OK","ERROR")</f>
        <v>OK</v>
      </c>
      <c r="F25" s="19" t="n">
        <f aca="false">SUM('3.FCL_WACC'!D11:N11)</f>
        <v>-2013140594.27332</v>
      </c>
    </row>
    <row r="26" customFormat="false" ht="15" hidden="false" customHeight="true" outlineLevel="0" collapsed="false">
      <c r="B26" s="8" t="s">
        <v>231</v>
      </c>
      <c r="D26" s="10" t="str">
        <f aca="false">IF(ABS('3.FCL_WACC'!N13-(('1.Inputs'!D20+'1.Inputs'!D23-'2.Estados'!N66)*'1.Inputs'!D60+'1.Inputs'!D19*'1.Inputs'!D59+'2.Estados'!N38))&lt;1,"OK","ERROR")</f>
        <v>OK</v>
      </c>
      <c r="F26" s="19" t="n">
        <f aca="false">'3.FCL_WACC'!N13</f>
        <v>2713140594.27332</v>
      </c>
    </row>
    <row r="27" customFormat="false" ht="15" hidden="false" customHeight="true" outlineLevel="0" collapsed="false">
      <c r="B27" s="8" t="s">
        <v>232</v>
      </c>
      <c r="D27" s="10" t="str">
        <f aca="false">IF('2.Estados'!N67&gt;='1.Inputs'!D19-1,"OK","ERROR")</f>
        <v>OK</v>
      </c>
      <c r="F27" s="19" t="n">
        <f aca="false">'2.Estados'!N67</f>
        <v>700000000</v>
      </c>
    </row>
    <row r="28" customFormat="false" ht="15" hidden="false" customHeight="true" outlineLevel="0" collapsed="false">
      <c r="B28" s="8" t="s">
        <v>233</v>
      </c>
      <c r="D28" s="10" t="str">
        <f aca="false">IF(ABS(SUM('3.FCL_WACC'!D24:N24)-SUM('3.FCL_WACC'!D14:N14)-SUM('3.FCL_WACC'!D19:N23))&lt;1,"OK","ERROR")</f>
        <v>OK</v>
      </c>
      <c r="F28" s="19" t="n">
        <f aca="false">SUM('3.FCL_WACC'!D24:N24)-SUM('3.FCL_WACC'!D14:N14)</f>
        <v>-487080731.707317</v>
      </c>
    </row>
    <row r="29" customFormat="false" ht="15" hidden="false" customHeight="true" outlineLevel="0" collapsed="false">
      <c r="B29" s="8" t="s">
        <v>234</v>
      </c>
      <c r="D29" s="10" t="str">
        <f aca="false">IF(ABS('4.Outputs'!D7-('3.FCL_WACC'!D14+NPV('3.FCL_WACC'!D36,'3.FCL_WACC'!E14:N14)))&lt;1,"OK","ERROR")</f>
        <v>OK</v>
      </c>
      <c r="F29" s="19" t="n">
        <f aca="false">'4.Outputs'!D7</f>
        <v>1645366737.93641</v>
      </c>
    </row>
    <row r="30" customFormat="false" ht="15" hidden="false" customHeight="true" outlineLevel="0" collapsed="false">
      <c r="B30" s="8" t="s">
        <v>235</v>
      </c>
      <c r="D30" s="10" t="str">
        <f aca="false">IF(ABS('4.Outputs'!D8-IRR('3.FCL_WACC'!D14:N14))&lt;0.0001,"OK","ERROR")</f>
        <v>OK</v>
      </c>
      <c r="F30" s="19" t="n">
        <f aca="false">'4.Outputs'!D8</f>
        <v>0.207584071535938</v>
      </c>
    </row>
    <row r="31" customFormat="false" ht="15" hidden="false" customHeight="true" outlineLevel="0" collapsed="false">
      <c r="B31" s="8" t="s">
        <v>236</v>
      </c>
      <c r="D31" s="8" t="str">
        <f aca="false">IF(SUMPRODUCT(('3.FCL_WACC'!D14:N14-('3.FCL_WACC'!D8:N8+'3.FCL_WACC'!D9:N9+'3.FCL_WACC'!D10:N10+'3.FCL_WACC'!D11:N11+'3.FCL_WACC'!D12:N12+'3.FCL_WACC'!D13:N13))*('3.FCL_WACC'!D14:N14-('3.FCL_WACC'!D8:N8+'3.FCL_WACC'!D9:N9+'3.FCL_WACC'!D10:N10+'3.FCL_WACC'!D11:N11+'3.FCL_WACC'!D12:N12+'3.FCL_WACC'!D13:N13)))&lt;1,"OK","ERROR")</f>
        <v>OK</v>
      </c>
      <c r="F31" s="8" t="n">
        <f aca="false">SUM('3.FCL_WACC'!D14:N14)</f>
        <v>6940282392.10608</v>
      </c>
    </row>
    <row r="32" customFormat="false" ht="15" hidden="false" customHeight="true" outlineLevel="0" collapsed="false">
      <c r="B32" s="8" t="s">
        <v>237</v>
      </c>
      <c r="D32" s="10" t="str">
        <f aca="false">IF(SUMPRODUCT(('2.Estados'!E25:N25&gt;0)*('2.Estados'!E24:N24&gt;0)*('2.Estados'!E26:N26=0))=0,"OK","ERROR")</f>
        <v>OK</v>
      </c>
      <c r="F32" s="8" t="n">
        <f aca="false">SUM('2.Estados'!E26:N26)</f>
        <v>21087804.8780489</v>
      </c>
    </row>
    <row r="34" customFormat="false" ht="15" hidden="false" customHeight="true" outlineLevel="0" collapsed="false">
      <c r="B34" s="4" t="s">
        <v>238</v>
      </c>
      <c r="D34" s="42" t="str">
        <f aca="false">IF(COUNTIF(D5:D32,"ERROR")&gt;0,"MODELO CON ERRORES",IF(COUNTIF(D5:D32,"ALERTA")&gt;0,"MODELO VÁLIDO CON ALERTAS","MODELO VÁLIDO"))</f>
        <v>MODELO VÁLIDO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0"/>
    <col collapsed="false" customWidth="true" hidden="false" outlineLevel="0" max="3" min="3" style="0" width="22"/>
    <col collapsed="false" customWidth="true" hidden="false" outlineLevel="0" max="4" min="4" style="0" width="15"/>
    <col collapsed="false" customWidth="true" hidden="false" outlineLevel="0" max="8" min="5" style="0" width="13"/>
    <col collapsed="false" customWidth="true" hidden="false" outlineLevel="0" max="9" min="9" style="0" width="11"/>
    <col collapsed="false" customWidth="true" hidden="false" outlineLevel="0" max="10" min="10" style="0" width="44"/>
  </cols>
  <sheetData>
    <row r="2" customFormat="false" ht="15" hidden="false" customHeight="false" outlineLevel="0" collapsed="false">
      <c r="B2" s="43" t="s">
        <v>239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customFormat="false" ht="33.75" hidden="false" customHeight="true" outlineLevel="0" collapsed="false">
      <c r="B3" s="45" t="s">
        <v>240</v>
      </c>
      <c r="C3" s="45"/>
      <c r="D3" s="45"/>
      <c r="E3" s="45"/>
      <c r="F3" s="45"/>
      <c r="G3" s="45"/>
      <c r="H3" s="45"/>
      <c r="I3" s="45"/>
      <c r="J3" s="45"/>
    </row>
    <row r="5" customFormat="false" ht="19.4" hidden="false" customHeight="false" outlineLevel="0" collapsed="false">
      <c r="B5" s="46" t="s">
        <v>241</v>
      </c>
      <c r="C5" s="46" t="s">
        <v>242</v>
      </c>
      <c r="D5" s="46" t="s">
        <v>243</v>
      </c>
      <c r="E5" s="46" t="s">
        <v>244</v>
      </c>
      <c r="F5" s="46" t="s">
        <v>245</v>
      </c>
      <c r="G5" s="46" t="s">
        <v>246</v>
      </c>
      <c r="H5" s="46" t="s">
        <v>247</v>
      </c>
      <c r="I5" s="46" t="s">
        <v>248</v>
      </c>
      <c r="J5" s="46" t="s">
        <v>249</v>
      </c>
    </row>
    <row r="6" customFormat="false" ht="19.4" hidden="false" customHeight="false" outlineLevel="0" collapsed="false">
      <c r="B6" s="47" t="s">
        <v>250</v>
      </c>
      <c r="C6" s="47" t="s">
        <v>251</v>
      </c>
      <c r="D6" s="48" t="n">
        <v>1645.36673793641</v>
      </c>
      <c r="E6" s="48" t="n">
        <v>0</v>
      </c>
      <c r="F6" s="48" t="n">
        <v>129.090184842932</v>
      </c>
      <c r="G6" s="48" t="n">
        <v>0</v>
      </c>
      <c r="H6" s="48" t="n">
        <v>117.058536585366</v>
      </c>
      <c r="I6" s="49" t="n">
        <v>1.26138636075067</v>
      </c>
      <c r="J6" s="47" t="s">
        <v>252</v>
      </c>
    </row>
    <row r="7" customFormat="false" ht="15" hidden="false" customHeight="false" outlineLevel="0" collapsed="false">
      <c r="B7" s="47" t="s">
        <v>253</v>
      </c>
      <c r="C7" s="47" t="s">
        <v>254</v>
      </c>
      <c r="D7" s="48" t="n">
        <v>6592.73349434052</v>
      </c>
      <c r="E7" s="48" t="n">
        <v>4947.36675640411</v>
      </c>
      <c r="F7" s="48" t="n">
        <v>3863.8056152771</v>
      </c>
      <c r="G7" s="48" t="n">
        <v>3734.71543043417</v>
      </c>
      <c r="H7" s="48" t="n">
        <v>686.217073170732</v>
      </c>
      <c r="I7" s="49" t="n">
        <v>3.26830954976112</v>
      </c>
      <c r="J7" s="47" t="s">
        <v>255</v>
      </c>
    </row>
    <row r="8" customFormat="false" ht="15" hidden="false" customHeight="false" outlineLevel="0" collapsed="false">
      <c r="B8" s="47" t="s">
        <v>256</v>
      </c>
      <c r="C8" s="47" t="s">
        <v>257</v>
      </c>
      <c r="D8" s="48" t="n">
        <v>-2250.5464093061</v>
      </c>
      <c r="E8" s="48" t="n">
        <v>-3895.91314724251</v>
      </c>
      <c r="F8" s="48" t="n">
        <v>-2962.9327254457</v>
      </c>
      <c r="G8" s="48" t="n">
        <v>-3092.02291028863</v>
      </c>
      <c r="H8" s="48" t="n">
        <v>-2331.87532474666</v>
      </c>
      <c r="I8" s="49" t="n">
        <v>0.0426553048780497</v>
      </c>
      <c r="J8" s="47" t="s">
        <v>258</v>
      </c>
    </row>
    <row r="9" customFormat="false" ht="19.4" hidden="false" customHeight="false" outlineLevel="0" collapsed="false">
      <c r="B9" s="47" t="s">
        <v>259</v>
      </c>
      <c r="C9" s="47" t="s">
        <v>260</v>
      </c>
      <c r="D9" s="48" t="n">
        <v>1284.79659472541</v>
      </c>
      <c r="E9" s="48" t="n">
        <v>-360.570143211</v>
      </c>
      <c r="F9" s="48" t="n">
        <v>-188.809680545779</v>
      </c>
      <c r="G9" s="48" t="n">
        <v>-317.899865388711</v>
      </c>
      <c r="H9" s="48" t="n">
        <v>84.6585365853658</v>
      </c>
      <c r="I9" s="49" t="n">
        <v>1.06714931581555</v>
      </c>
      <c r="J9" s="47" t="s">
        <v>261</v>
      </c>
    </row>
    <row r="10" customFormat="false" ht="19.4" hidden="false" customHeight="false" outlineLevel="0" collapsed="false">
      <c r="B10" s="47" t="s">
        <v>262</v>
      </c>
      <c r="C10" s="47" t="s">
        <v>263</v>
      </c>
      <c r="D10" s="48" t="n">
        <v>-1477.5994055366</v>
      </c>
      <c r="E10" s="48" t="n">
        <v>-3122.96614347301</v>
      </c>
      <c r="F10" s="48" t="n">
        <v>-2357.67085766323</v>
      </c>
      <c r="G10" s="48" t="n">
        <v>-2486.76104250616</v>
      </c>
      <c r="H10" s="48" t="n">
        <v>-1176.56553648546</v>
      </c>
      <c r="I10" s="49" t="n">
        <v>-0.102847424012863</v>
      </c>
      <c r="J10" s="47" t="s">
        <v>264</v>
      </c>
    </row>
    <row r="11" customFormat="false" ht="19.4" hidden="false" customHeight="false" outlineLevel="0" collapsed="false">
      <c r="B11" s="47" t="s">
        <v>265</v>
      </c>
      <c r="C11" s="47" t="s">
        <v>266</v>
      </c>
      <c r="D11" s="48" t="n">
        <v>632.93084014623</v>
      </c>
      <c r="E11" s="48" t="n">
        <v>-1012.43589779018</v>
      </c>
      <c r="F11" s="48" t="n">
        <v>-567.560500470165</v>
      </c>
      <c r="G11" s="48" t="n">
        <v>-696.650685313097</v>
      </c>
      <c r="H11" s="48" t="n">
        <v>117.058536585366</v>
      </c>
      <c r="I11" s="49" t="n">
        <v>1.29623688345851</v>
      </c>
      <c r="J11" s="47" t="s">
        <v>267</v>
      </c>
    </row>
    <row r="12" customFormat="false" ht="19.4" hidden="false" customHeight="false" outlineLevel="0" collapsed="false">
      <c r="B12" s="47" t="s">
        <v>268</v>
      </c>
      <c r="C12" s="47" t="s">
        <v>269</v>
      </c>
      <c r="D12" s="48" t="n">
        <v>1294.83997661076</v>
      </c>
      <c r="E12" s="48" t="n">
        <v>-350.52676132565</v>
      </c>
      <c r="F12" s="48" t="n">
        <v>-263.325985695955</v>
      </c>
      <c r="G12" s="48" t="n">
        <v>-392.416170538887</v>
      </c>
      <c r="H12" s="48" t="n">
        <v>-223.441463414634</v>
      </c>
      <c r="I12" s="49" t="n">
        <v>0.921022612656156</v>
      </c>
      <c r="J12" s="47" t="s">
        <v>270</v>
      </c>
    </row>
    <row r="13" customFormat="false" ht="19.4" hidden="false" customHeight="false" outlineLevel="0" collapsed="false">
      <c r="B13" s="47" t="s">
        <v>271</v>
      </c>
      <c r="C13" s="47" t="s">
        <v>272</v>
      </c>
      <c r="D13" s="48" t="n">
        <v>284.233231577556</v>
      </c>
      <c r="E13" s="48" t="n">
        <v>-1361.13350635885</v>
      </c>
      <c r="F13" s="48" t="n">
        <v>-975.745691442877</v>
      </c>
      <c r="G13" s="48" t="n">
        <v>-1104.83587628581</v>
      </c>
      <c r="H13" s="48" t="n">
        <v>-254.192365853659</v>
      </c>
      <c r="I13" s="49" t="n">
        <v>0.720367877518963</v>
      </c>
      <c r="J13" s="47" t="s">
        <v>273</v>
      </c>
    </row>
    <row r="14" customFormat="false" ht="19.4" hidden="false" customHeight="false" outlineLevel="0" collapsed="false">
      <c r="B14" s="47" t="s">
        <v>274</v>
      </c>
      <c r="C14" s="47" t="s">
        <v>275</v>
      </c>
      <c r="D14" s="48" t="n">
        <v>1259.86581161329</v>
      </c>
      <c r="E14" s="48" t="n">
        <v>-385.50092632312</v>
      </c>
      <c r="F14" s="48" t="n">
        <v>-363.116760349195</v>
      </c>
      <c r="G14" s="48" t="n">
        <v>-492.206945192127</v>
      </c>
      <c r="H14" s="48" t="n">
        <v>117.058536585366</v>
      </c>
      <c r="I14" s="49" t="n">
        <v>1.26138636075067</v>
      </c>
      <c r="J14" s="47" t="s">
        <v>276</v>
      </c>
    </row>
    <row r="15" customFormat="false" ht="19.4" hidden="false" customHeight="false" outlineLevel="0" collapsed="false">
      <c r="B15" s="47" t="s">
        <v>277</v>
      </c>
      <c r="C15" s="47" t="s">
        <v>278</v>
      </c>
      <c r="D15" s="48" t="n">
        <v>-1222.60266664719</v>
      </c>
      <c r="E15" s="48" t="n">
        <v>-2867.9694045836</v>
      </c>
      <c r="F15" s="48" t="n">
        <v>-2184.54561334288</v>
      </c>
      <c r="G15" s="48" t="n">
        <v>-2313.63579818581</v>
      </c>
      <c r="H15" s="48" t="n">
        <v>-1032.02510015244</v>
      </c>
      <c r="I15" s="49" t="n">
        <v>0.336038948170731</v>
      </c>
      <c r="J15" s="47" t="s">
        <v>279</v>
      </c>
    </row>
    <row r="17" customFormat="false" ht="15" hidden="false" customHeight="false" outlineLevel="0" collapsed="false">
      <c r="B17" s="43" t="s">
        <v>280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</row>
    <row r="18" customFormat="false" ht="19.4" hidden="false" customHeight="false" outlineLevel="0" collapsed="false">
      <c r="B18" s="46" t="s">
        <v>281</v>
      </c>
      <c r="C18" s="46" t="s">
        <v>282</v>
      </c>
      <c r="D18" s="46" t="s">
        <v>283</v>
      </c>
    </row>
    <row r="19" customFormat="false" ht="15" hidden="false" customHeight="false" outlineLevel="0" collapsed="false">
      <c r="B19" s="50" t="s">
        <v>284</v>
      </c>
      <c r="C19" s="51" t="n">
        <v>-191.26846088636</v>
      </c>
      <c r="D19" s="51" t="n">
        <v>-154.85058930718</v>
      </c>
    </row>
    <row r="20" customFormat="false" ht="15" hidden="false" customHeight="false" outlineLevel="0" collapsed="false">
      <c r="B20" s="50" t="s">
        <v>285</v>
      </c>
      <c r="C20" s="51" t="n">
        <v>-67.49572651934</v>
      </c>
      <c r="D20" s="51" t="n">
        <v>-46.4433790208733</v>
      </c>
    </row>
    <row r="21" customFormat="false" ht="15" hidden="false" customHeight="false" outlineLevel="0" collapsed="false">
      <c r="B21" s="50" t="s">
        <v>286</v>
      </c>
      <c r="C21" s="51" t="n">
        <v>-116.84225377522</v>
      </c>
      <c r="D21" s="51" t="n">
        <v>-130.805390179629</v>
      </c>
    </row>
    <row r="22" customFormat="false" ht="15" hidden="false" customHeight="false" outlineLevel="0" collapsed="false">
      <c r="B22" s="50" t="s">
        <v>287</v>
      </c>
      <c r="C22" s="51" t="n">
        <v>-101.05394070453</v>
      </c>
      <c r="D22" s="51" t="n">
        <v>-138.183424412619</v>
      </c>
    </row>
    <row r="23" customFormat="false" ht="15" hidden="false" customHeight="false" outlineLevel="0" collapsed="false">
      <c r="B23" s="50" t="s">
        <v>288</v>
      </c>
      <c r="C23" s="51" t="n">
        <v>-20.0316746228299</v>
      </c>
      <c r="D23" s="51" t="n">
        <v>-17.661103632707</v>
      </c>
    </row>
  </sheetData>
  <mergeCells count="1">
    <mergeCell ref="B3:J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5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5"/>
    <col collapsed="false" customWidth="true" hidden="false" outlineLevel="0" max="3" min="3" style="0" width="40"/>
    <col collapsed="false" customWidth="true" hidden="false" outlineLevel="0" max="4" min="4" style="0" width="10"/>
    <col collapsed="false" customWidth="true" hidden="false" outlineLevel="0" max="5" min="5" style="0" width="9"/>
    <col collapsed="false" customWidth="true" hidden="false" outlineLevel="0" max="6" min="6" style="0" width="38"/>
    <col collapsed="false" customWidth="true" hidden="false" outlineLevel="0" max="7" min="7" style="0" width="10"/>
    <col collapsed="false" customWidth="true" hidden="false" outlineLevel="0" max="8" min="8" style="0" width="30"/>
    <col collapsed="false" customWidth="true" hidden="false" outlineLevel="0" max="9" min="9" style="0" width="24"/>
    <col collapsed="false" customWidth="true" hidden="false" outlineLevel="0" max="10" min="10" style="0" width="10"/>
    <col collapsed="false" customWidth="true" hidden="false" outlineLevel="0" max="11" min="11" style="0" width="30"/>
  </cols>
  <sheetData>
    <row r="2" customFormat="false" ht="15" hidden="false" customHeight="false" outlineLevel="0" collapsed="false">
      <c r="B2" s="43" t="s">
        <v>289</v>
      </c>
      <c r="C2" s="44"/>
      <c r="D2" s="44"/>
      <c r="E2" s="44"/>
      <c r="F2" s="44"/>
      <c r="G2" s="44"/>
      <c r="H2" s="44"/>
      <c r="I2" s="44"/>
      <c r="J2" s="44"/>
      <c r="K2" s="44"/>
    </row>
    <row r="4" customFormat="false" ht="19.4" hidden="false" customHeight="false" outlineLevel="0" collapsed="false">
      <c r="B4" s="46" t="s">
        <v>290</v>
      </c>
      <c r="C4" s="46" t="s">
        <v>291</v>
      </c>
      <c r="D4" s="46" t="s">
        <v>292</v>
      </c>
      <c r="E4" s="46" t="s">
        <v>293</v>
      </c>
      <c r="F4" s="46" t="s">
        <v>294</v>
      </c>
      <c r="G4" s="46" t="s">
        <v>295</v>
      </c>
      <c r="H4" s="46" t="s">
        <v>296</v>
      </c>
      <c r="I4" s="46" t="s">
        <v>297</v>
      </c>
      <c r="J4" s="46" t="s">
        <v>208</v>
      </c>
      <c r="K4" s="46" t="s">
        <v>298</v>
      </c>
    </row>
    <row r="5" customFormat="false" ht="19.4" hidden="false" customHeight="false" outlineLevel="0" collapsed="false">
      <c r="B5" s="47" t="n">
        <v>1</v>
      </c>
      <c r="C5" s="47" t="s">
        <v>210</v>
      </c>
      <c r="D5" s="47" t="s">
        <v>299</v>
      </c>
      <c r="E5" s="47" t="s">
        <v>300</v>
      </c>
      <c r="F5" s="47" t="s">
        <v>301</v>
      </c>
      <c r="G5" s="47" t="s">
        <v>302</v>
      </c>
      <c r="H5" s="47" t="s">
        <v>303</v>
      </c>
      <c r="I5" s="47" t="s">
        <v>3</v>
      </c>
      <c r="J5" s="47" t="s">
        <v>304</v>
      </c>
      <c r="K5" s="47" t="s">
        <v>305</v>
      </c>
    </row>
    <row r="6" customFormat="false" ht="19.4" hidden="false" customHeight="false" outlineLevel="0" collapsed="false">
      <c r="B6" s="47" t="n">
        <v>2</v>
      </c>
      <c r="C6" s="47" t="s">
        <v>211</v>
      </c>
      <c r="D6" s="47" t="s">
        <v>299</v>
      </c>
      <c r="E6" s="47" t="s">
        <v>306</v>
      </c>
      <c r="F6" s="47" t="s">
        <v>307</v>
      </c>
      <c r="G6" s="47" t="s">
        <v>308</v>
      </c>
      <c r="H6" s="47" t="s">
        <v>309</v>
      </c>
      <c r="I6" s="47" t="s">
        <v>310</v>
      </c>
      <c r="J6" s="47" t="s">
        <v>304</v>
      </c>
      <c r="K6" s="47" t="s">
        <v>311</v>
      </c>
    </row>
    <row r="7" customFormat="false" ht="19.4" hidden="false" customHeight="false" outlineLevel="0" collapsed="false">
      <c r="B7" s="47" t="n">
        <v>3</v>
      </c>
      <c r="C7" s="47" t="s">
        <v>212</v>
      </c>
      <c r="D7" s="47" t="s">
        <v>299</v>
      </c>
      <c r="E7" s="47" t="s">
        <v>312</v>
      </c>
      <c r="F7" s="47" t="s">
        <v>313</v>
      </c>
      <c r="G7" s="47" t="s">
        <v>302</v>
      </c>
      <c r="H7" s="47" t="s">
        <v>314</v>
      </c>
      <c r="I7" s="47" t="s">
        <v>310</v>
      </c>
      <c r="J7" s="47" t="s">
        <v>304</v>
      </c>
      <c r="K7" s="47" t="s">
        <v>315</v>
      </c>
    </row>
    <row r="8" customFormat="false" ht="15" hidden="false" customHeight="false" outlineLevel="0" collapsed="false">
      <c r="B8" s="47" t="n">
        <v>4</v>
      </c>
      <c r="C8" s="47" t="s">
        <v>213</v>
      </c>
      <c r="D8" s="47" t="s">
        <v>299</v>
      </c>
      <c r="E8" s="47" t="s">
        <v>316</v>
      </c>
      <c r="F8" s="47" t="s">
        <v>317</v>
      </c>
      <c r="G8" s="47" t="s">
        <v>302</v>
      </c>
      <c r="H8" s="47" t="s">
        <v>318</v>
      </c>
      <c r="I8" s="47" t="s">
        <v>310</v>
      </c>
      <c r="J8" s="47" t="s">
        <v>304</v>
      </c>
      <c r="K8" s="47" t="s">
        <v>319</v>
      </c>
    </row>
    <row r="9" customFormat="false" ht="15" hidden="false" customHeight="false" outlineLevel="0" collapsed="false">
      <c r="B9" s="47" t="n">
        <v>5</v>
      </c>
      <c r="C9" s="47" t="s">
        <v>214</v>
      </c>
      <c r="D9" s="47" t="s">
        <v>299</v>
      </c>
      <c r="E9" s="47" t="s">
        <v>320</v>
      </c>
      <c r="F9" s="47" t="s">
        <v>321</v>
      </c>
      <c r="G9" s="47" t="s">
        <v>302</v>
      </c>
      <c r="H9" s="47" t="s">
        <v>322</v>
      </c>
      <c r="I9" s="47" t="s">
        <v>310</v>
      </c>
      <c r="J9" s="47" t="s">
        <v>304</v>
      </c>
      <c r="K9" s="47" t="s">
        <v>323</v>
      </c>
    </row>
    <row r="10" customFormat="false" ht="15" hidden="false" customHeight="false" outlineLevel="0" collapsed="false">
      <c r="B10" s="47" t="n">
        <v>6</v>
      </c>
      <c r="C10" s="47" t="s">
        <v>215</v>
      </c>
      <c r="D10" s="47" t="s">
        <v>299</v>
      </c>
      <c r="E10" s="47" t="s">
        <v>324</v>
      </c>
      <c r="F10" s="47" t="s">
        <v>325</v>
      </c>
      <c r="G10" s="47" t="s">
        <v>326</v>
      </c>
      <c r="H10" s="47" t="s">
        <v>327</v>
      </c>
      <c r="I10" s="47" t="s">
        <v>310</v>
      </c>
      <c r="J10" s="47" t="s">
        <v>304</v>
      </c>
      <c r="K10" s="47" t="s">
        <v>328</v>
      </c>
    </row>
    <row r="11" customFormat="false" ht="19.4" hidden="false" customHeight="false" outlineLevel="0" collapsed="false">
      <c r="B11" s="47" t="n">
        <v>7</v>
      </c>
      <c r="C11" s="47" t="s">
        <v>216</v>
      </c>
      <c r="D11" s="47" t="s">
        <v>299</v>
      </c>
      <c r="E11" s="47" t="s">
        <v>329</v>
      </c>
      <c r="F11" s="47" t="s">
        <v>330</v>
      </c>
      <c r="G11" s="47" t="s">
        <v>302</v>
      </c>
      <c r="H11" s="47" t="s">
        <v>331</v>
      </c>
      <c r="I11" s="47" t="s">
        <v>310</v>
      </c>
      <c r="J11" s="47" t="s">
        <v>304</v>
      </c>
      <c r="K11" s="47" t="s">
        <v>332</v>
      </c>
    </row>
    <row r="12" customFormat="false" ht="15" hidden="false" customHeight="false" outlineLevel="0" collapsed="false">
      <c r="B12" s="47" t="n">
        <v>8</v>
      </c>
      <c r="C12" s="47" t="s">
        <v>217</v>
      </c>
      <c r="D12" s="47" t="s">
        <v>299</v>
      </c>
      <c r="E12" s="47" t="s">
        <v>333</v>
      </c>
      <c r="F12" s="47" t="s">
        <v>334</v>
      </c>
      <c r="G12" s="47" t="s">
        <v>302</v>
      </c>
      <c r="H12" s="47" t="s">
        <v>335</v>
      </c>
      <c r="I12" s="47" t="s">
        <v>310</v>
      </c>
      <c r="J12" s="47" t="s">
        <v>304</v>
      </c>
      <c r="K12" s="47" t="s">
        <v>336</v>
      </c>
    </row>
    <row r="13" customFormat="false" ht="15" hidden="false" customHeight="false" outlineLevel="0" collapsed="false">
      <c r="B13" s="47" t="n">
        <v>9</v>
      </c>
      <c r="C13" s="47" t="s">
        <v>218</v>
      </c>
      <c r="D13" s="47" t="s">
        <v>299</v>
      </c>
      <c r="E13" s="47" t="s">
        <v>337</v>
      </c>
      <c r="F13" s="47" t="s">
        <v>338</v>
      </c>
      <c r="G13" s="47" t="s">
        <v>302</v>
      </c>
      <c r="H13" s="47" t="s">
        <v>339</v>
      </c>
      <c r="I13" s="47" t="s">
        <v>310</v>
      </c>
      <c r="J13" s="47" t="s">
        <v>304</v>
      </c>
      <c r="K13" s="47" t="s">
        <v>340</v>
      </c>
    </row>
    <row r="14" customFormat="false" ht="15" hidden="false" customHeight="false" outlineLevel="0" collapsed="false">
      <c r="B14" s="47" t="n">
        <v>10</v>
      </c>
      <c r="C14" s="47" t="s">
        <v>219</v>
      </c>
      <c r="D14" s="47" t="s">
        <v>299</v>
      </c>
      <c r="E14" s="47" t="s">
        <v>341</v>
      </c>
      <c r="F14" s="47" t="s">
        <v>342</v>
      </c>
      <c r="G14" s="47" t="s">
        <v>343</v>
      </c>
      <c r="H14" s="47" t="s">
        <v>344</v>
      </c>
      <c r="I14" s="47" t="s">
        <v>345</v>
      </c>
      <c r="J14" s="47" t="s">
        <v>304</v>
      </c>
      <c r="K14" s="47" t="s">
        <v>346</v>
      </c>
    </row>
    <row r="15" customFormat="false" ht="19.4" hidden="false" customHeight="false" outlineLevel="0" collapsed="false">
      <c r="B15" s="47" t="n">
        <v>11</v>
      </c>
      <c r="C15" s="47" t="s">
        <v>220</v>
      </c>
      <c r="D15" s="47" t="s">
        <v>299</v>
      </c>
      <c r="E15" s="47" t="s">
        <v>347</v>
      </c>
      <c r="F15" s="47" t="s">
        <v>348</v>
      </c>
      <c r="G15" s="47" t="s">
        <v>349</v>
      </c>
      <c r="H15" s="47" t="s">
        <v>350</v>
      </c>
      <c r="I15" s="47" t="s">
        <v>310</v>
      </c>
      <c r="J15" s="47" t="s">
        <v>304</v>
      </c>
      <c r="K15" s="47" t="s">
        <v>351</v>
      </c>
    </row>
    <row r="16" customFormat="false" ht="19.4" hidden="false" customHeight="false" outlineLevel="0" collapsed="false">
      <c r="B16" s="47" t="n">
        <v>12</v>
      </c>
      <c r="C16" s="47" t="s">
        <v>221</v>
      </c>
      <c r="D16" s="47" t="s">
        <v>299</v>
      </c>
      <c r="E16" s="47" t="s">
        <v>352</v>
      </c>
      <c r="F16" s="47" t="s">
        <v>353</v>
      </c>
      <c r="G16" s="47" t="s">
        <v>308</v>
      </c>
      <c r="H16" s="47" t="s">
        <v>354</v>
      </c>
      <c r="I16" s="47" t="s">
        <v>310</v>
      </c>
      <c r="J16" s="47" t="s">
        <v>304</v>
      </c>
      <c r="K16" s="47" t="s">
        <v>355</v>
      </c>
    </row>
    <row r="17" customFormat="false" ht="15" hidden="false" customHeight="false" outlineLevel="0" collapsed="false">
      <c r="B17" s="47" t="n">
        <v>13</v>
      </c>
      <c r="C17" s="47" t="s">
        <v>222</v>
      </c>
      <c r="D17" s="47" t="s">
        <v>299</v>
      </c>
      <c r="E17" s="47" t="s">
        <v>356</v>
      </c>
      <c r="F17" s="47" t="s">
        <v>357</v>
      </c>
      <c r="G17" s="47" t="s">
        <v>358</v>
      </c>
      <c r="H17" s="47" t="s">
        <v>359</v>
      </c>
      <c r="I17" s="47" t="s">
        <v>310</v>
      </c>
      <c r="J17" s="47" t="s">
        <v>304</v>
      </c>
      <c r="K17" s="47" t="s">
        <v>360</v>
      </c>
    </row>
    <row r="18" customFormat="false" ht="15" hidden="false" customHeight="false" outlineLevel="0" collapsed="false">
      <c r="B18" s="47" t="n">
        <v>14</v>
      </c>
      <c r="C18" s="47" t="s">
        <v>223</v>
      </c>
      <c r="D18" s="47" t="s">
        <v>299</v>
      </c>
      <c r="E18" s="47" t="s">
        <v>361</v>
      </c>
      <c r="F18" s="47" t="s">
        <v>362</v>
      </c>
      <c r="G18" s="47" t="s">
        <v>358</v>
      </c>
      <c r="H18" s="47" t="s">
        <v>363</v>
      </c>
      <c r="I18" s="47" t="s">
        <v>310</v>
      </c>
      <c r="J18" s="47" t="s">
        <v>304</v>
      </c>
      <c r="K18" s="47" t="s">
        <v>364</v>
      </c>
    </row>
    <row r="19" customFormat="false" ht="15" hidden="false" customHeight="false" outlineLevel="0" collapsed="false">
      <c r="B19" s="47" t="n">
        <v>15</v>
      </c>
      <c r="C19" s="47" t="s">
        <v>224</v>
      </c>
      <c r="D19" s="47" t="s">
        <v>299</v>
      </c>
      <c r="E19" s="47" t="s">
        <v>365</v>
      </c>
      <c r="F19" s="47" t="s">
        <v>366</v>
      </c>
      <c r="G19" s="47" t="s">
        <v>308</v>
      </c>
      <c r="H19" s="47" t="s">
        <v>367</v>
      </c>
      <c r="I19" s="47" t="s">
        <v>310</v>
      </c>
      <c r="J19" s="47" t="s">
        <v>304</v>
      </c>
      <c r="K19" s="47" t="s">
        <v>368</v>
      </c>
    </row>
    <row r="20" customFormat="false" ht="15" hidden="false" customHeight="false" outlineLevel="0" collapsed="false">
      <c r="B20" s="47" t="n">
        <v>16</v>
      </c>
      <c r="C20" s="47" t="s">
        <v>225</v>
      </c>
      <c r="D20" s="47" t="s">
        <v>299</v>
      </c>
      <c r="E20" s="47" t="s">
        <v>369</v>
      </c>
      <c r="F20" s="47" t="s">
        <v>370</v>
      </c>
      <c r="G20" s="47" t="s">
        <v>302</v>
      </c>
      <c r="H20" s="47" t="s">
        <v>371</v>
      </c>
      <c r="I20" s="47" t="s">
        <v>310</v>
      </c>
      <c r="J20" s="47" t="s">
        <v>304</v>
      </c>
      <c r="K20" s="47" t="s">
        <v>372</v>
      </c>
    </row>
    <row r="21" customFormat="false" ht="15" hidden="false" customHeight="false" outlineLevel="0" collapsed="false">
      <c r="B21" s="47" t="n">
        <v>17</v>
      </c>
      <c r="C21" s="47" t="s">
        <v>226</v>
      </c>
      <c r="D21" s="47" t="s">
        <v>299</v>
      </c>
      <c r="E21" s="47" t="s">
        <v>373</v>
      </c>
      <c r="F21" s="47" t="s">
        <v>374</v>
      </c>
      <c r="G21" s="47" t="s">
        <v>302</v>
      </c>
      <c r="H21" s="47" t="s">
        <v>375</v>
      </c>
      <c r="I21" s="47" t="s">
        <v>310</v>
      </c>
      <c r="J21" s="47" t="s">
        <v>304</v>
      </c>
      <c r="K21" s="47" t="s">
        <v>376</v>
      </c>
    </row>
    <row r="22" customFormat="false" ht="15" hidden="false" customHeight="false" outlineLevel="0" collapsed="false">
      <c r="B22" s="47" t="n">
        <v>18</v>
      </c>
      <c r="C22" s="47" t="s">
        <v>227</v>
      </c>
      <c r="D22" s="47" t="s">
        <v>299</v>
      </c>
      <c r="E22" s="47" t="s">
        <v>377</v>
      </c>
      <c r="F22" s="47" t="s">
        <v>227</v>
      </c>
      <c r="G22" s="47" t="s">
        <v>358</v>
      </c>
      <c r="H22" s="47" t="s">
        <v>378</v>
      </c>
      <c r="I22" s="47" t="s">
        <v>310</v>
      </c>
      <c r="J22" s="47" t="s">
        <v>304</v>
      </c>
      <c r="K22" s="47" t="s">
        <v>379</v>
      </c>
    </row>
    <row r="23" customFormat="false" ht="19.4" hidden="false" customHeight="false" outlineLevel="0" collapsed="false">
      <c r="B23" s="47" t="n">
        <v>19</v>
      </c>
      <c r="C23" s="47" t="s">
        <v>228</v>
      </c>
      <c r="D23" s="47" t="s">
        <v>299</v>
      </c>
      <c r="E23" s="47" t="s">
        <v>380</v>
      </c>
      <c r="F23" s="47" t="s">
        <v>381</v>
      </c>
      <c r="G23" s="47" t="s">
        <v>302</v>
      </c>
      <c r="H23" s="47" t="s">
        <v>382</v>
      </c>
      <c r="I23" s="47" t="s">
        <v>310</v>
      </c>
      <c r="J23" s="47" t="s">
        <v>304</v>
      </c>
      <c r="K23" s="47" t="s">
        <v>383</v>
      </c>
    </row>
    <row r="24" customFormat="false" ht="15" hidden="false" customHeight="false" outlineLevel="0" collapsed="false">
      <c r="B24" s="47" t="n">
        <v>20</v>
      </c>
      <c r="C24" s="47" t="s">
        <v>229</v>
      </c>
      <c r="D24" s="47" t="s">
        <v>299</v>
      </c>
      <c r="E24" s="47" t="s">
        <v>384</v>
      </c>
      <c r="F24" s="47" t="s">
        <v>385</v>
      </c>
      <c r="G24" s="47" t="s">
        <v>302</v>
      </c>
      <c r="H24" s="47" t="s">
        <v>386</v>
      </c>
      <c r="I24" s="47" t="s">
        <v>310</v>
      </c>
      <c r="J24" s="47" t="s">
        <v>304</v>
      </c>
      <c r="K24" s="47" t="s">
        <v>387</v>
      </c>
    </row>
    <row r="25" customFormat="false" ht="15" hidden="false" customHeight="false" outlineLevel="0" collapsed="false">
      <c r="B25" s="47" t="n">
        <v>21</v>
      </c>
      <c r="C25" s="47" t="s">
        <v>230</v>
      </c>
      <c r="D25" s="47" t="s">
        <v>299</v>
      </c>
      <c r="E25" s="47" t="s">
        <v>388</v>
      </c>
      <c r="F25" s="47" t="s">
        <v>389</v>
      </c>
      <c r="G25" s="47" t="s">
        <v>302</v>
      </c>
      <c r="H25" s="47" t="s">
        <v>390</v>
      </c>
      <c r="I25" s="47" t="s">
        <v>345</v>
      </c>
      <c r="J25" s="47" t="s">
        <v>304</v>
      </c>
      <c r="K25" s="47" t="s">
        <v>391</v>
      </c>
    </row>
    <row r="26" customFormat="false" ht="19.4" hidden="false" customHeight="false" outlineLevel="0" collapsed="false">
      <c r="B26" s="47" t="n">
        <v>22</v>
      </c>
      <c r="C26" s="47" t="s">
        <v>231</v>
      </c>
      <c r="D26" s="47" t="s">
        <v>299</v>
      </c>
      <c r="E26" s="47" t="s">
        <v>392</v>
      </c>
      <c r="F26" s="47" t="s">
        <v>393</v>
      </c>
      <c r="G26" s="47" t="s">
        <v>302</v>
      </c>
      <c r="H26" s="47" t="s">
        <v>394</v>
      </c>
      <c r="I26" s="47" t="s">
        <v>345</v>
      </c>
      <c r="J26" s="47" t="s">
        <v>304</v>
      </c>
      <c r="K26" s="47" t="s">
        <v>395</v>
      </c>
    </row>
    <row r="27" customFormat="false" ht="15" hidden="false" customHeight="false" outlineLevel="0" collapsed="false">
      <c r="B27" s="47" t="n">
        <v>23</v>
      </c>
      <c r="C27" s="47" t="s">
        <v>232</v>
      </c>
      <c r="D27" s="47" t="s">
        <v>299</v>
      </c>
      <c r="E27" s="47" t="s">
        <v>396</v>
      </c>
      <c r="F27" s="47" t="s">
        <v>397</v>
      </c>
      <c r="G27" s="47" t="s">
        <v>302</v>
      </c>
      <c r="H27" s="47" t="s">
        <v>398</v>
      </c>
      <c r="I27" s="47" t="s">
        <v>310</v>
      </c>
      <c r="J27" s="47" t="s">
        <v>304</v>
      </c>
      <c r="K27" s="47" t="s">
        <v>399</v>
      </c>
    </row>
    <row r="28" customFormat="false" ht="15" hidden="false" customHeight="false" outlineLevel="0" collapsed="false">
      <c r="B28" s="47" t="n">
        <v>24</v>
      </c>
      <c r="C28" s="47" t="s">
        <v>233</v>
      </c>
      <c r="D28" s="47" t="s">
        <v>299</v>
      </c>
      <c r="E28" s="47" t="s">
        <v>400</v>
      </c>
      <c r="F28" s="47" t="s">
        <v>401</v>
      </c>
      <c r="G28" s="47" t="s">
        <v>302</v>
      </c>
      <c r="H28" s="47" t="s">
        <v>402</v>
      </c>
      <c r="I28" s="47" t="s">
        <v>345</v>
      </c>
      <c r="J28" s="47" t="s">
        <v>304</v>
      </c>
      <c r="K28" s="47" t="s">
        <v>403</v>
      </c>
    </row>
    <row r="29" customFormat="false" ht="15" hidden="false" customHeight="false" outlineLevel="0" collapsed="false">
      <c r="B29" s="47" t="n">
        <v>25</v>
      </c>
      <c r="C29" s="47" t="s">
        <v>234</v>
      </c>
      <c r="D29" s="47" t="s">
        <v>299</v>
      </c>
      <c r="E29" s="47" t="s">
        <v>404</v>
      </c>
      <c r="F29" s="47" t="s">
        <v>405</v>
      </c>
      <c r="G29" s="47" t="s">
        <v>302</v>
      </c>
      <c r="H29" s="47" t="s">
        <v>406</v>
      </c>
      <c r="I29" s="47" t="s">
        <v>345</v>
      </c>
      <c r="J29" s="47" t="s">
        <v>304</v>
      </c>
      <c r="K29" s="47" t="s">
        <v>407</v>
      </c>
    </row>
    <row r="30" customFormat="false" ht="19.4" hidden="false" customHeight="false" outlineLevel="0" collapsed="false">
      <c r="B30" s="47" t="n">
        <v>26</v>
      </c>
      <c r="C30" s="47" t="s">
        <v>235</v>
      </c>
      <c r="D30" s="47" t="s">
        <v>299</v>
      </c>
      <c r="E30" s="47" t="s">
        <v>408</v>
      </c>
      <c r="F30" s="47" t="s">
        <v>409</v>
      </c>
      <c r="G30" s="47" t="s">
        <v>343</v>
      </c>
      <c r="H30" s="47" t="s">
        <v>406</v>
      </c>
      <c r="I30" s="47" t="s">
        <v>345</v>
      </c>
      <c r="J30" s="47" t="s">
        <v>304</v>
      </c>
      <c r="K30" s="47" t="s">
        <v>407</v>
      </c>
    </row>
    <row r="31" customFormat="false" ht="19.4" hidden="false" customHeight="false" outlineLevel="0" collapsed="false">
      <c r="B31" s="47" t="n">
        <v>27</v>
      </c>
      <c r="C31" s="47" t="s">
        <v>236</v>
      </c>
      <c r="D31" s="47" t="s">
        <v>299</v>
      </c>
      <c r="E31" s="47" t="s">
        <v>410</v>
      </c>
      <c r="F31" s="47" t="s">
        <v>411</v>
      </c>
      <c r="G31" s="47" t="s">
        <v>302</v>
      </c>
      <c r="H31" s="47" t="s">
        <v>412</v>
      </c>
      <c r="I31" s="47" t="s">
        <v>345</v>
      </c>
      <c r="J31" s="47" t="s">
        <v>304</v>
      </c>
      <c r="K31" s="47" t="s">
        <v>413</v>
      </c>
    </row>
    <row r="32" customFormat="false" ht="15" hidden="false" customHeight="false" outlineLevel="0" collapsed="false">
      <c r="B32" s="47" t="n">
        <v>28</v>
      </c>
      <c r="C32" s="47" t="s">
        <v>237</v>
      </c>
      <c r="D32" s="47" t="s">
        <v>299</v>
      </c>
      <c r="E32" s="47" t="s">
        <v>414</v>
      </c>
      <c r="F32" s="47" t="s">
        <v>415</v>
      </c>
      <c r="G32" s="47" t="s">
        <v>358</v>
      </c>
      <c r="H32" s="47" t="s">
        <v>416</v>
      </c>
      <c r="I32" s="47" t="s">
        <v>345</v>
      </c>
      <c r="J32" s="47" t="s">
        <v>304</v>
      </c>
      <c r="K32" s="47" t="s">
        <v>372</v>
      </c>
    </row>
    <row r="35" customFormat="false" ht="15" hidden="false" customHeight="false" outlineLevel="0" collapsed="false">
      <c r="B35" s="43" t="s">
        <v>417</v>
      </c>
      <c r="C35" s="44"/>
      <c r="D35" s="44"/>
      <c r="E35" s="44"/>
      <c r="F35" s="44"/>
      <c r="G35" s="44"/>
      <c r="H35" s="44"/>
      <c r="I35" s="44"/>
      <c r="J35" s="44"/>
      <c r="K35" s="44"/>
    </row>
    <row r="36" customFormat="false" ht="15" hidden="false" customHeight="false" outlineLevel="0" collapsed="false">
      <c r="B36" s="52" t="s">
        <v>418</v>
      </c>
      <c r="C36" s="52"/>
      <c r="D36" s="52"/>
      <c r="E36" s="52"/>
      <c r="F36" s="52"/>
      <c r="G36" s="52"/>
      <c r="H36" s="52"/>
      <c r="I36" s="52"/>
      <c r="J36" s="52"/>
      <c r="K36" s="52"/>
    </row>
    <row r="37" customFormat="false" ht="19.4" hidden="false" customHeight="false" outlineLevel="0" collapsed="false">
      <c r="B37" s="46" t="s">
        <v>290</v>
      </c>
      <c r="C37" s="46" t="s">
        <v>419</v>
      </c>
      <c r="D37" s="46" t="s">
        <v>420</v>
      </c>
      <c r="E37" s="46" t="s">
        <v>421</v>
      </c>
      <c r="F37" s="46" t="s">
        <v>422</v>
      </c>
      <c r="G37" s="46" t="s">
        <v>297</v>
      </c>
      <c r="H37" s="46" t="s">
        <v>423</v>
      </c>
    </row>
    <row r="38" customFormat="false" ht="55.2" hidden="false" customHeight="false" outlineLevel="0" collapsed="false">
      <c r="B38" s="47" t="n">
        <v>1</v>
      </c>
      <c r="C38" s="47" t="s">
        <v>424</v>
      </c>
      <c r="D38" s="47" t="s">
        <v>425</v>
      </c>
      <c r="E38" s="47" t="s">
        <v>426</v>
      </c>
      <c r="F38" s="47" t="s">
        <v>427</v>
      </c>
      <c r="G38" s="47" t="s">
        <v>428</v>
      </c>
      <c r="H38" s="47" t="s">
        <v>429</v>
      </c>
    </row>
    <row r="39" customFormat="false" ht="37.3" hidden="false" customHeight="false" outlineLevel="0" collapsed="false">
      <c r="B39" s="47" t="n">
        <v>2</v>
      </c>
      <c r="C39" s="47" t="s">
        <v>430</v>
      </c>
      <c r="D39" s="47" t="s">
        <v>431</v>
      </c>
      <c r="E39" s="47" t="s">
        <v>432</v>
      </c>
      <c r="F39" s="47" t="s">
        <v>433</v>
      </c>
      <c r="G39" s="47" t="s">
        <v>3</v>
      </c>
      <c r="H39" s="47" t="s">
        <v>429</v>
      </c>
    </row>
    <row r="40" customFormat="false" ht="28.35" hidden="false" customHeight="false" outlineLevel="0" collapsed="false">
      <c r="B40" s="47" t="n">
        <v>3</v>
      </c>
      <c r="C40" s="47" t="s">
        <v>434</v>
      </c>
      <c r="D40" s="47" t="s">
        <v>435</v>
      </c>
      <c r="E40" s="47" t="s">
        <v>436</v>
      </c>
      <c r="F40" s="47" t="s">
        <v>437</v>
      </c>
      <c r="G40" s="47" t="s">
        <v>428</v>
      </c>
      <c r="H40" s="47" t="s">
        <v>429</v>
      </c>
    </row>
    <row r="41" customFormat="false" ht="28.35" hidden="false" customHeight="false" outlineLevel="0" collapsed="false">
      <c r="B41" s="47" t="n">
        <v>4</v>
      </c>
      <c r="C41" s="47" t="s">
        <v>438</v>
      </c>
      <c r="D41" s="47" t="s">
        <v>439</v>
      </c>
      <c r="E41" s="47" t="s">
        <v>440</v>
      </c>
      <c r="F41" s="47" t="s">
        <v>441</v>
      </c>
      <c r="G41" s="47" t="s">
        <v>428</v>
      </c>
      <c r="H41" s="47" t="s">
        <v>429</v>
      </c>
    </row>
    <row r="42" customFormat="false" ht="19.4" hidden="false" customHeight="false" outlineLevel="0" collapsed="false">
      <c r="B42" s="47" t="n">
        <v>5</v>
      </c>
      <c r="C42" s="47" t="s">
        <v>442</v>
      </c>
      <c r="D42" s="47" t="s">
        <v>443</v>
      </c>
      <c r="E42" s="47" t="s">
        <v>444</v>
      </c>
      <c r="F42" s="47" t="s">
        <v>445</v>
      </c>
      <c r="G42" s="47" t="s">
        <v>345</v>
      </c>
      <c r="H42" s="47" t="s">
        <v>429</v>
      </c>
    </row>
    <row r="43" customFormat="false" ht="28.35" hidden="false" customHeight="false" outlineLevel="0" collapsed="false">
      <c r="B43" s="47" t="n">
        <v>6</v>
      </c>
      <c r="C43" s="47" t="s">
        <v>446</v>
      </c>
      <c r="D43" s="47" t="s">
        <v>447</v>
      </c>
      <c r="E43" s="47" t="s">
        <v>448</v>
      </c>
      <c r="F43" s="47" t="s">
        <v>449</v>
      </c>
      <c r="G43" s="47" t="s">
        <v>428</v>
      </c>
      <c r="H43" s="47" t="s">
        <v>450</v>
      </c>
    </row>
    <row r="44" customFormat="false" ht="28.35" hidden="false" customHeight="false" outlineLevel="0" collapsed="false">
      <c r="B44" s="47" t="n">
        <v>7</v>
      </c>
      <c r="C44" s="47" t="s">
        <v>451</v>
      </c>
      <c r="D44" s="47" t="s">
        <v>452</v>
      </c>
      <c r="E44" s="47" t="s">
        <v>453</v>
      </c>
      <c r="F44" s="47" t="s">
        <v>454</v>
      </c>
      <c r="G44" s="47" t="s">
        <v>345</v>
      </c>
      <c r="H44" s="47" t="s">
        <v>450</v>
      </c>
    </row>
    <row r="45" customFormat="false" ht="28.35" hidden="false" customHeight="false" outlineLevel="0" collapsed="false">
      <c r="B45" s="47" t="n">
        <v>8</v>
      </c>
      <c r="C45" s="47" t="s">
        <v>455</v>
      </c>
      <c r="D45" s="47" t="s">
        <v>456</v>
      </c>
      <c r="E45" s="47" t="s">
        <v>457</v>
      </c>
      <c r="F45" s="47" t="s">
        <v>458</v>
      </c>
      <c r="G45" s="47" t="s">
        <v>428</v>
      </c>
      <c r="H45" s="47" t="s">
        <v>429</v>
      </c>
    </row>
    <row r="46" customFormat="false" ht="37.3" hidden="false" customHeight="false" outlineLevel="0" collapsed="false">
      <c r="B46" s="47" t="n">
        <v>9</v>
      </c>
      <c r="C46" s="47" t="s">
        <v>459</v>
      </c>
      <c r="D46" s="47" t="s">
        <v>460</v>
      </c>
      <c r="E46" s="47" t="s">
        <v>461</v>
      </c>
      <c r="F46" s="47" t="s">
        <v>462</v>
      </c>
      <c r="G46" s="47" t="s">
        <v>345</v>
      </c>
      <c r="H46" s="47" t="s">
        <v>429</v>
      </c>
    </row>
    <row r="47" customFormat="false" ht="28.35" hidden="false" customHeight="false" outlineLevel="0" collapsed="false">
      <c r="B47" s="47" t="n">
        <v>10</v>
      </c>
      <c r="C47" s="47" t="s">
        <v>463</v>
      </c>
      <c r="D47" s="47" t="s">
        <v>464</v>
      </c>
      <c r="E47" s="47" t="s">
        <v>465</v>
      </c>
      <c r="F47" s="47" t="s">
        <v>466</v>
      </c>
      <c r="G47" s="47" t="s">
        <v>345</v>
      </c>
      <c r="H47" s="47" t="s">
        <v>429</v>
      </c>
    </row>
    <row r="48" customFormat="false" ht="28.35" hidden="false" customHeight="false" outlineLevel="0" collapsed="false">
      <c r="B48" s="47" t="n">
        <v>11</v>
      </c>
      <c r="C48" s="47" t="s">
        <v>467</v>
      </c>
      <c r="D48" s="47" t="s">
        <v>464</v>
      </c>
      <c r="E48" s="47" t="s">
        <v>465</v>
      </c>
      <c r="F48" s="47" t="s">
        <v>468</v>
      </c>
      <c r="G48" s="47" t="s">
        <v>345</v>
      </c>
      <c r="H48" s="47" t="s">
        <v>429</v>
      </c>
    </row>
    <row r="49" customFormat="false" ht="28.35" hidden="false" customHeight="false" outlineLevel="0" collapsed="false">
      <c r="B49" s="47" t="n">
        <v>12</v>
      </c>
      <c r="C49" s="47" t="s">
        <v>469</v>
      </c>
      <c r="D49" s="47" t="s">
        <v>470</v>
      </c>
      <c r="E49" s="47" t="s">
        <v>471</v>
      </c>
      <c r="F49" s="47" t="s">
        <v>472</v>
      </c>
      <c r="G49" s="47" t="s">
        <v>345</v>
      </c>
      <c r="H49" s="47" t="s">
        <v>429</v>
      </c>
    </row>
    <row r="50" customFormat="false" ht="28.35" hidden="false" customHeight="false" outlineLevel="0" collapsed="false">
      <c r="B50" s="47" t="n">
        <v>13</v>
      </c>
      <c r="C50" s="47" t="s">
        <v>473</v>
      </c>
      <c r="D50" s="47" t="s">
        <v>460</v>
      </c>
      <c r="E50" s="47" t="s">
        <v>474</v>
      </c>
      <c r="F50" s="47" t="s">
        <v>475</v>
      </c>
      <c r="G50" s="47" t="s">
        <v>345</v>
      </c>
      <c r="H50" s="47" t="s">
        <v>429</v>
      </c>
    </row>
    <row r="51" customFormat="false" ht="19.4" hidden="false" customHeight="false" outlineLevel="0" collapsed="false">
      <c r="B51" s="47" t="n">
        <v>14</v>
      </c>
      <c r="C51" s="47" t="s">
        <v>476</v>
      </c>
      <c r="D51" s="47" t="s">
        <v>431</v>
      </c>
      <c r="E51" s="47" t="s">
        <v>477</v>
      </c>
      <c r="F51" s="47" t="s">
        <v>433</v>
      </c>
      <c r="G51" s="47" t="s">
        <v>3</v>
      </c>
      <c r="H51" s="47" t="s">
        <v>429</v>
      </c>
    </row>
  </sheetData>
  <mergeCells count="1">
    <mergeCell ref="B36:K3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2026-07-07T17:17:52Z</dcterms:created>
  <dc:creator>openpyxl</dc:creator>
  <dc:description/>
  <dc:language>en-US</dc:language>
  <cp:lastModifiedBy/>
  <dcterms:modified xsi:type="dcterms:W3CDTF">2026-07-08T21:18:58Z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