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CF7B8EC0-525F-4AEE-86E0-C32A8FC8118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. Caso y ruta" sheetId="1" r:id="rId1"/>
    <sheet name="2. Inputs" sheetId="2" r:id="rId2"/>
    <sheet name="3. Modelo financiero" sheetId="3" r:id="rId3"/>
    <sheet name="4. Impactos e internalización" sheetId="4" r:id="rId4"/>
    <sheet name="5. Decisión e incremental" sheetId="5" r:id="rId5"/>
    <sheet name="6. Sensibilidades" sheetId="6" r:id="rId6"/>
    <sheet name="7. Dashboard" sheetId="7" r:id="rId7"/>
    <sheet name="8. Actividades y evaluación" sheetId="8" r:id="rId8"/>
  </sheets>
  <definedNames>
    <definedName name="_xlnm.Print_Area" localSheetId="6">'7. Dashboard'!$A$1:$L$75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50" i="8" l="1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27" i="8"/>
  <c r="H1" i="8"/>
  <c r="G1" i="8"/>
  <c r="F1" i="8"/>
  <c r="E1" i="8"/>
  <c r="D1" i="8"/>
  <c r="C1" i="8"/>
  <c r="B1" i="8"/>
  <c r="A1" i="8"/>
  <c r="H1" i="7"/>
  <c r="G1" i="7"/>
  <c r="F1" i="7"/>
  <c r="E1" i="7"/>
  <c r="D1" i="7"/>
  <c r="C1" i="7"/>
  <c r="B1" i="7"/>
  <c r="A1" i="7"/>
  <c r="H1" i="6"/>
  <c r="G1" i="6"/>
  <c r="F1" i="6"/>
  <c r="E1" i="6"/>
  <c r="D1" i="6"/>
  <c r="C1" i="6"/>
  <c r="B1" i="6"/>
  <c r="A1" i="6"/>
  <c r="H1" i="5"/>
  <c r="G1" i="5"/>
  <c r="F1" i="5"/>
  <c r="E1" i="5"/>
  <c r="D1" i="5"/>
  <c r="C1" i="5"/>
  <c r="B1" i="5"/>
  <c r="A1" i="5"/>
  <c r="H1" i="4"/>
  <c r="G1" i="4"/>
  <c r="F1" i="4"/>
  <c r="E1" i="4"/>
  <c r="D1" i="4"/>
  <c r="C1" i="4"/>
  <c r="B1" i="4"/>
  <c r="A1" i="4"/>
  <c r="H1" i="3"/>
  <c r="G1" i="3"/>
  <c r="F1" i="3"/>
  <c r="E1" i="3"/>
  <c r="D1" i="3"/>
  <c r="C1" i="3"/>
  <c r="B1" i="3"/>
  <c r="A1" i="3"/>
  <c r="A124" i="2"/>
  <c r="A111" i="2"/>
  <c r="A110" i="2"/>
  <c r="M104" i="2"/>
  <c r="M103" i="2"/>
  <c r="M102" i="2"/>
  <c r="M101" i="2"/>
  <c r="M100" i="2"/>
  <c r="M99" i="2"/>
  <c r="M98" i="2"/>
  <c r="M97" i="2"/>
  <c r="M96" i="2"/>
  <c r="M95" i="2"/>
  <c r="M92" i="2"/>
  <c r="M91" i="2"/>
  <c r="M90" i="2"/>
  <c r="M89" i="2"/>
  <c r="M88" i="2"/>
  <c r="M85" i="2"/>
  <c r="M84" i="2"/>
  <c r="M83" i="2"/>
  <c r="M82" i="2"/>
  <c r="M81" i="2"/>
  <c r="M80" i="2"/>
  <c r="M78" i="2"/>
  <c r="M77" i="2"/>
  <c r="M76" i="2"/>
  <c r="M75" i="2"/>
  <c r="E72" i="2"/>
  <c r="D72" i="2"/>
  <c r="E71" i="2"/>
  <c r="D71" i="2"/>
  <c r="C71" i="2"/>
  <c r="C72" i="2" s="1"/>
  <c r="M70" i="2"/>
  <c r="M66" i="2"/>
  <c r="M65" i="2"/>
  <c r="M64" i="2"/>
  <c r="M63" i="2"/>
  <c r="M62" i="2"/>
  <c r="M61" i="2"/>
  <c r="M58" i="2"/>
  <c r="M57" i="2"/>
  <c r="M56" i="2"/>
  <c r="M55" i="2"/>
  <c r="M54" i="2"/>
  <c r="M53" i="2"/>
  <c r="M52" i="2"/>
  <c r="E49" i="2"/>
  <c r="D49" i="2"/>
  <c r="C49" i="2"/>
  <c r="M40" i="2"/>
  <c r="M39" i="2"/>
  <c r="B39" i="2"/>
  <c r="M38" i="2"/>
  <c r="M37" i="2"/>
  <c r="M36" i="2"/>
  <c r="M35" i="2"/>
  <c r="M34" i="2"/>
  <c r="M33" i="2"/>
  <c r="M32" i="2"/>
  <c r="M29" i="2"/>
  <c r="B29" i="2"/>
  <c r="A109" i="2" s="1"/>
  <c r="M28" i="2"/>
  <c r="B28" i="2"/>
  <c r="A108" i="2" s="1"/>
  <c r="M27" i="2"/>
  <c r="M26" i="2"/>
  <c r="M25" i="2"/>
  <c r="M24" i="2"/>
  <c r="M23" i="2"/>
  <c r="M22" i="2"/>
  <c r="M21" i="2"/>
  <c r="B21" i="2"/>
  <c r="M20" i="2"/>
  <c r="B20" i="2"/>
  <c r="M19" i="2"/>
  <c r="B19" i="2"/>
  <c r="B24" i="2" s="1"/>
  <c r="M18" i="2"/>
  <c r="M17" i="2"/>
  <c r="B17" i="2"/>
  <c r="B18" i="2" s="1"/>
  <c r="M16" i="2"/>
  <c r="M15" i="2"/>
  <c r="M14" i="2"/>
  <c r="M13" i="2"/>
  <c r="M12" i="2"/>
  <c r="M11" i="2"/>
  <c r="M10" i="2"/>
  <c r="M9" i="2"/>
  <c r="M8" i="2"/>
  <c r="M7" i="2"/>
  <c r="H1" i="2"/>
  <c r="G1" i="2"/>
  <c r="F1" i="2"/>
  <c r="E1" i="2"/>
  <c r="D1" i="2"/>
  <c r="C1" i="2"/>
  <c r="B1" i="2"/>
  <c r="A1" i="2"/>
  <c r="D63" i="1"/>
  <c r="B29" i="1"/>
  <c r="B27" i="1"/>
  <c r="B26" i="1"/>
  <c r="B25" i="1"/>
  <c r="B24" i="1"/>
  <c r="B23" i="1"/>
  <c r="B22" i="1"/>
  <c r="B21" i="1"/>
  <c r="B20" i="1"/>
  <c r="B19" i="1"/>
  <c r="D13" i="1"/>
  <c r="C13" i="1"/>
  <c r="B13" i="1"/>
  <c r="H1" i="1"/>
  <c r="G1" i="1"/>
  <c r="F1" i="1"/>
  <c r="E1" i="1"/>
  <c r="D1" i="1"/>
  <c r="C1" i="1"/>
  <c r="B1" i="1"/>
  <c r="A1" i="1"/>
  <c r="A107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A9" authorId="0" shapeId="0" xr:uid="{00000000-0006-0000-0200-000001000000}">
      <text>
        <r>
          <rPr>
            <sz val="10"/>
            <rFont val="Arial"/>
            <family val="2"/>
          </rPr>
          <t>RECETA: Revenue año t = B32 × escala × (1+g aplicado B24)^(t−1). Año 0 = 0.</t>
        </r>
      </text>
    </comment>
    <comment ref="A15" authorId="0" shapeId="0" xr:uid="{00000000-0006-0000-0200-000002000000}">
      <text>
        <r>
          <rPr>
            <sz val="10"/>
            <rFont val="Arial"/>
            <family val="2"/>
          </rPr>
          <t>RECETA: EBITDA = suma de revenue y costos del bloque (los costos van con signo negativo).</t>
        </r>
      </text>
    </comment>
    <comment ref="A18" authorId="0" shapeId="0" xr:uid="{00000000-0006-0000-0200-000003000000}">
      <text>
        <r>
          <rPr>
            <sz val="10"/>
            <rFont val="Arial"/>
            <family val="2"/>
          </rPr>
          <t>RECETA: Impuesto = −MAX(0; EBIT) × τ. Si el EBIT es negativo no hay ahorro de caja automático (manual 3).</t>
        </r>
      </text>
    </comment>
    <comment ref="A24" authorId="0" shapeId="0" xr:uid="{00000000-0006-0000-0200-000004000000}">
      <text>
        <r>
          <rPr>
            <sz val="10"/>
            <rFont val="Arial"/>
            <family val="2"/>
          </rPr>
          <t>RECETA: Terminal: CHOOSE(B9; cierre; TV normalizado; EAC). Guardas: IF(WACC&gt;g; …; NA()).</t>
        </r>
      </text>
    </comment>
    <comment ref="A27" authorId="0" shapeId="0" xr:uid="{00000000-0006-0000-0200-000005000000}">
      <text>
        <r>
          <rPr>
            <sz val="10"/>
            <rFont val="Arial"/>
            <family val="2"/>
          </rPr>
          <t>RECETA: Factor de descuento t = 1/(1+WACC del filtro C72)^t; el del año 0 es 1.</t>
        </r>
      </text>
    </comment>
    <comment ref="A37" authorId="0" shapeId="0" xr:uid="{00000000-0006-0000-0200-000006000000}">
      <text>
        <r>
          <rPr>
            <sz val="10"/>
            <rFont val="Arial"/>
            <family val="2"/>
          </rPr>
          <t>RECETA: VPN operativo = SUMPRODUCT(fila FCFF; fila factores). Nunca meta el año 0 dentro de NPV().</t>
        </r>
      </text>
    </comment>
    <comment ref="A51" authorId="0" shapeId="0" xr:uid="{00000000-0006-0000-0200-000007000000}">
      <text>
        <r>
          <rPr>
            <sz val="10"/>
            <rFont val="Arial"/>
            <family val="2"/>
          </rPr>
          <t>RECETA: EBITDA año 1 = celda del año 1 de la fila EBITDA; factibilidad: IF(≥B100×escala; "FACTIBLE"; "NO FACTIBLE").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A8" authorId="0" shapeId="0" xr:uid="{00000000-0006-0000-0300-000001000000}">
      <text>
        <r>
          <rPr>
            <sz val="10"/>
            <rFont val="Arial"/>
            <family val="2"/>
          </rPr>
          <t>RECETA: Clima real t = tCO₂e (C48 según filtro) × factor físico × B61 × escala. Sin inflación: es real.</t>
        </r>
      </text>
    </comment>
    <comment ref="A17" authorId="0" shapeId="0" xr:uid="{00000000-0006-0000-0300-000002000000}">
      <text>
        <r>
          <rPr>
            <sz val="10"/>
            <rFont val="Arial"/>
            <family val="2"/>
          </rPr>
          <t>RECETA: VPN social neto = VP clima + VP salud + VP transición (negativo) − costo social de recursos.</t>
        </r>
      </text>
    </comment>
    <comment ref="A68" authorId="0" shapeId="0" xr:uid="{00000000-0006-0000-0300-000003000000}">
      <text>
        <r>
          <rPr>
            <sz val="10"/>
            <rFont val="Arial"/>
            <family val="2"/>
          </rPr>
          <t>RECETA: Canal impuesto bruto t = tCO₂e × factor físico × B62 × B63 × escala × (1+π)^(t−1); luego neto = bruto × factor fiscal.</t>
        </r>
      </text>
    </comment>
    <comment ref="A76" authorId="0" shapeId="0" xr:uid="{00000000-0006-0000-0300-000004000000}">
      <text>
        <r>
          <rPr>
            <sz val="10"/>
            <rFont val="Arial"/>
            <family val="2"/>
          </rPr>
          <t>RECETA: VPN internalizado = VPN privado (hoja 3) + VP de canales NETO. Descuento: WACC del filtro, jamás la tasa social.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A13" authorId="0" shapeId="0" xr:uid="{00000000-0006-0000-0400-000001000000}">
      <text>
        <r>
          <rPr>
            <sz val="10"/>
            <rFont val="Arial"/>
            <family val="2"/>
          </rPr>
          <t>RECETA: Factibilidad global = IF(COUNTIF(fila de restricciones;"NO CUMPLE")=0; "FACTIBLE"; "NO FACTIBLE").</t>
        </r>
      </text>
    </comment>
    <comment ref="A33" authorId="0" shapeId="0" xr:uid="{00000000-0006-0000-0400-000002000000}">
      <text>
        <r>
          <rPr>
            <sz val="10"/>
            <rFont val="Arial"/>
            <family val="2"/>
          </rPr>
          <t>RECETA: Ganadora factible: enmascare a las no factibles con −1E+15 y use INDEX+MATCH(MAX); si COUNTIF(factibles)=0 devuelva "NINGUNA".</t>
        </r>
      </text>
    </comment>
    <comment ref="A51" authorId="0" shapeId="0" xr:uid="{00000000-0006-0000-0400-000003000000}">
      <text>
        <r>
          <rPr>
            <sz val="10"/>
            <rFont val="Arial"/>
            <family val="2"/>
          </rPr>
          <t>RECETA: ΔFCF = FCF privado del filtro superior − del inferior, año por año. Lo común se cancela solo.</t>
        </r>
      </text>
    </comment>
    <comment ref="A63" authorId="0" shapeId="0" xr:uid="{00000000-0006-0000-0400-000004000000}">
      <text>
        <r>
          <rPr>
            <sz val="10"/>
            <rFont val="Arial"/>
            <family val="2"/>
          </rPr>
          <t>RECETA: TIR incremental: cuente cambios de signo con SUMPRODUCT(--((r≥0)&lt;&gt;(r≥0 desplazado))) y emita mensajes, no errores.</t>
        </r>
      </text>
    </comment>
    <comment ref="A77" authorId="0" shapeId="0" xr:uid="{00000000-0006-0000-0400-000005000000}">
      <text>
        <r>
          <rPr>
            <sz val="10"/>
            <rFont val="Arial"/>
            <family val="2"/>
          </rPr>
          <t>RECETA: Cierre = NWC recuperado + liquidación − desmantelamiento − pasivo − indemnizaciones de TODA la plantilla. Sin multa.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A6" authorId="0" shapeId="0" xr:uid="{00000000-0006-0000-0500-000001000000}">
      <text>
        <r>
          <rPr>
            <sz val="10"/>
            <rFont val="Arial"/>
            <family val="2"/>
          </rPr>
          <t>RECETA: Cuerpo de matriz: reconstruya el VPN de la métrica con los valores del encabezado (fila y columna) y declare la ganadora por IF anidado.</t>
        </r>
      </text>
    </comment>
    <comment ref="A156" authorId="0" shapeId="0" xr:uid="{00000000-0006-0000-0500-000002000000}">
      <text>
        <r>
          <rPr>
            <sz val="10"/>
            <rFont val="Arial"/>
            <family val="2"/>
          </rPr>
          <t>RECETA: PE por perspectiva: iguale ganadora y challenger despejando el driver; si el despeje da ≤0, el ranking es robusto.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A9" authorId="0" shapeId="0" xr:uid="{00000000-0006-0000-0600-000001000000}">
      <text>
        <r>
          <rPr>
            <sz val="10"/>
            <rFont val="Arial"/>
            <family val="2"/>
          </rPr>
          <t>RECETA: Todo por referencia a sus hojas 3-6: nada escrito a mano. La perspectiva se lee de '5. Decisión e incremental'!B27.</t>
        </r>
      </text>
    </comment>
  </commentList>
</comments>
</file>

<file path=xl/sharedStrings.xml><?xml version="1.0" encoding="utf-8"?>
<sst xmlns="http://schemas.openxmlformats.org/spreadsheetml/2006/main" count="1611" uniqueCount="889">
  <si>
    <t>MODELO ESG CHALLENGE — CASO CHALLENGEESG CORP</t>
  </si>
  <si>
    <t>Versión</t>
  </si>
  <si>
    <t>Edición Estudiante · Versión 1.0 (de construcción) — 2026</t>
  </si>
  <si>
    <t>Material</t>
  </si>
  <si>
    <t>Caso de enseñanza en evaluación financiera y socioambiental de inversiones</t>
  </si>
  <si>
    <t>Duración estimada</t>
  </si>
  <si>
    <t>Modalidades: ejecutiva 90 min · completa 180 min · taller extendido 270 min</t>
  </si>
  <si>
    <t>Acompañante</t>
  </si>
  <si>
    <t>Manual Conceptual y Aplicado — ChallengeESG Corp (v1.0)</t>
  </si>
  <si>
    <t>Fecha de actualización</t>
  </si>
  <si>
    <t>2026-07-13</t>
  </si>
  <si>
    <t>Perfil</t>
  </si>
  <si>
    <t>Estudiante</t>
  </si>
  <si>
    <t>Edite únicamente los inputs AZULES. Las fórmulas están diferenciadas visualmente; conserve una copia limpia para restaurar el caso si modifica una fórmula accidentalmente.</t>
  </si>
  <si>
    <t>Vista</t>
  </si>
  <si>
    <t>Básico</t>
  </si>
  <si>
    <t>ADVERTENCIA DE USO PEDAGÓGICO: este modelo es una herramienta de enseñanza. Los valores ambientales, sanitarios, regulatorios y financieros deben validarse antes de cualquier aplicación real. Varios inputs están marcados como Simulados o Pedagógicos en la hoja 8 y no son aptos para decisión real.</t>
  </si>
  <si>
    <t>ESTADO DEL ARCHIVO</t>
  </si>
  <si>
    <t>VERSIÓN DE CONSTRUCCIÓN — las hojas 3 a 7 están vacías a propósito: usted las construye durante el curso siguiendo la ruta de 7 etapas y el manual. Las celdas AMARILLAS son suyas; los datos base viven en la hoja 2.</t>
  </si>
  <si>
    <t>PANEL DE NAVEGACIÓN DINÁMICO — cambia según Modo y Vista (sin macros)</t>
  </si>
  <si>
    <t>Compatibilidad principal: Microsoft Excel 365.</t>
  </si>
  <si>
    <t>1A. EL CASO CHALLENGEESG CORP — narrativa de decisión</t>
  </si>
  <si>
    <t>ChallengeESG Corp fabrica un millón de componentes industriales al año en su planta principal, con ingresos cercanos a US$100 millones y 800 trabajadores de producción. Durante una década, su sistema de filtrado de emisiones G0 fue suficiente para operar dentro de la norma.</t>
  </si>
  <si>
    <t>Eso terminó este año: la autoridad ambiental prohibió el estándar G0. Seguir operando con él expone a la empresa a sanciones — cuyo monto, frecuencia y escalamiento son inciertos — e incluso a la suspensión o el cierre. El statu quo dejó de ser una opción legal.</t>
  </si>
  <si>
    <t>La ingeniería presentó tres alternativas. G1 (US$19,1M) cumple la norma con el mínimo costo: mismos 800 trabajadores, un aumento moderado de materiales, y reduce las emisiones y la contaminación local de forma modesta. G2 (US$86,7M) automatiza parcialmente: 700 trabajadores, mayores costos de materiales, y un desempeño ambiental sustancialmente mejor. G3 (US$116,4M) es la frontera tecnológica: 600 trabajadores, la planta casi limpia (PM de 7,0 a 0,5 µg/m³; 245.000 tCO₂e evitadas al año), y los costos operativos más altos.</t>
  </si>
  <si>
    <t>La gerencia está dividida. El comité de inversión exige que el EBITDA del primer año no baje de US$20 millones — una restricción dura, no negociable — y que cualquier inversión cree valor. El regulador exige cumplimiento inmediato y estudia extender el impuesto al carbono al sector y endurecer los estándares de material particulado. La comunidad vecina (unas 250.000 personas expuestas) espera aire más limpio; el sindicato observa con inquietud los 100-200 empleos que la automatización eliminaría.</t>
  </si>
  <si>
    <t>La información disponible es desigual: el CAPEX y los costos operativos vienen de cotizaciones firmes (confianza alta); las toneladas de CO₂e evitadas provienen de un estudio de ingeniería simulado; el valor sanitario por microgramo es un supuesto ilustrativo sin estudio epidemiológico local; y nadie sabe con certeza cómo sancionará el regulador si la empresa demora la decisión.</t>
  </si>
  <si>
    <t>LA PREGUNTA DE DECISIÓN: si usted fuera miembro del comité de inversión, ¿qué filtro recomendaría y bajo qué perspectiva?</t>
  </si>
  <si>
    <t>PREGUNTAS INICIALES (sin cálculos — Actividad 1):  1) ¿Cuál filtro parece mejor financieramente y por qué?  2) ¿Cuál parece mejor socialmente?  3) ¿Qué información faltaría antes de decidir?</t>
  </si>
  <si>
    <t>Etapa</t>
  </si>
  <si>
    <t>Objetivo</t>
  </si>
  <si>
    <t>Hoja de trabajo</t>
  </si>
  <si>
    <t>Tiempo</t>
  </si>
  <si>
    <t>Entregable</t>
  </si>
  <si>
    <t>Error común</t>
  </si>
  <si>
    <t>Pregunta de reflexión</t>
  </si>
  <si>
    <t>1</t>
  </si>
  <si>
    <t>Comprender el caso: problema, alternativas y restricciones</t>
  </si>
  <si>
    <t>1. Caso</t>
  </si>
  <si>
    <t>Selección preliminar justificada</t>
  </si>
  <si>
    <t>Saltar directo a los números sin entender el conflicto</t>
  </si>
  <si>
    <t>¿Qué haría usted si no existiera este modelo?</t>
  </si>
  <si>
    <t>2</t>
  </si>
  <si>
    <t>Construir el flujo privado: FCFF, VPN, TIR, MIRR, PI, payback</t>
  </si>
  <si>
    <t>3. Inputs + 4. Modelo</t>
  </si>
  <si>
    <t>Lectura correcta de las métricas de G1/G2/G3</t>
  </si>
  <si>
    <t>Leer la TIR operativa como rentabilidad del filtro</t>
  </si>
  <si>
    <t>¿Por qué la operación de G1 'renta' 58% si el filtro apenas evita una sanción?</t>
  </si>
  <si>
    <t>3</t>
  </si>
  <si>
    <t>Monetizar externalidades: clima, contaminación local, salud</t>
  </si>
  <si>
    <t>5. Impactos</t>
  </si>
  <si>
    <t>Distinción tCO₂e (clima) vs µg/m³ (salud)</t>
  </si>
  <si>
    <t>Convertir PM a CO₂e o mezclar rutas</t>
  </si>
  <si>
    <t>¿Quién recibe estos beneficios? ¿La empresa?</t>
  </si>
  <si>
    <t>4</t>
  </si>
  <si>
    <t>Construir el VPN socioambiental con tasa social coherente</t>
  </si>
  <si>
    <t>VPN social neto por filtro</t>
  </si>
  <si>
    <t>Descontar flujos sociales al WACC (o flujos nominales a tasa real)</t>
  </si>
  <si>
    <t>¿Por qué 3% real y no 10% nominal?</t>
  </si>
  <si>
    <t>5</t>
  </si>
  <si>
    <t>Modelar internalización: canales que vuelven caja</t>
  </si>
  <si>
    <t>6. Internalización</t>
  </si>
  <si>
    <t>VP por canal y VPN internalizado</t>
  </si>
  <si>
    <t>Multiplicar el VP social por un % conservando la tasa social</t>
  </si>
  <si>
    <t>¿Qué tendría que pasar en Colombia para que el canal impuesto se materialice?</t>
  </si>
  <si>
    <t>6</t>
  </si>
  <si>
    <t>Evaluar alternativas incrementales G2−G1, G3−G1, G3−G2</t>
  </si>
  <si>
    <t>7. Incremental</t>
  </si>
  <si>
    <t>ΔVPN, TIR/MIRR incremental, LCOA incremental</t>
  </si>
  <si>
    <t>Comparar VPNs absolutos de operación completa</t>
  </si>
  <si>
    <t>¿Vale la pena el upgrade? ¿Para quién?</t>
  </si>
  <si>
    <t>7</t>
  </si>
  <si>
    <t>Tomar la decisión: valor + riesgo + restricciones + calidad de datos</t>
  </si>
  <si>
    <t>8. Decisión + 9. Sensib. + 10. Dashboard</t>
  </si>
  <si>
    <t>Memo de recomendación de 1 página</t>
  </si>
  <si>
    <t>Recomendar por una sola métrica</t>
  </si>
  <si>
    <t>¿Qué supuesto lo haría cambiar de opinión?</t>
  </si>
  <si>
    <t>TOTAL modalidad completa</t>
  </si>
  <si>
    <t>MODALIDADES — ejecutiva 90 min = etapas 1, 2 y 7 (15+35+40). Completa 180 min = etapas 1-7. Taller extendido 270 min = completa + sensibilidades (30) + auditoría (30) + comité de inversión (30).</t>
  </si>
  <si>
    <t>2. INPUTS — supuestos, selectores y trazabilidad</t>
  </si>
  <si>
    <t>AZUL = editable (celdas desbloqueadas) · NEGRO = fórmula protegida · Cada input: unidad, moneda, tipo, confianza, fuente, comentario pedagógico y alerta automática. ETAPA 1-2 de la ruta de aprendizaje.</t>
  </si>
  <si>
    <t>A. MACROECONOMÍA, MONEDA Y SELECTORES</t>
  </si>
  <si>
    <t>Variable</t>
  </si>
  <si>
    <t>Valor</t>
  </si>
  <si>
    <t>Unidad</t>
  </si>
  <si>
    <t>Mon.</t>
  </si>
  <si>
    <t>Tipo</t>
  </si>
  <si>
    <t>Conf.</t>
  </si>
  <si>
    <t>Edit.</t>
  </si>
  <si>
    <t>Fuente / fecha</t>
  </si>
  <si>
    <t>Comentario pedagógico · impacto esperado</t>
  </si>
  <si>
    <t>Alerta</t>
  </si>
  <si>
    <t>Moneda funcional</t>
  </si>
  <si>
    <t>USD</t>
  </si>
  <si>
    <t>texto</t>
  </si>
  <si>
    <t>Selector</t>
  </si>
  <si>
    <t>Sí</t>
  </si>
  <si>
    <t>Determina π, WACC y escala de TODOS los flujos. Impacto: nivel, no ranking (PPP).</t>
  </si>
  <si>
    <t>Base de proyección</t>
  </si>
  <si>
    <t>Nominal</t>
  </si>
  <si>
    <t>Nominal = flujos con inflación / tasas nominales; Real = moneda constante / tasas Fisher.</t>
  </si>
  <si>
    <t>Tratamiento terminal (1=Cierre / 2=Continuidad TV / 3=Reposición)</t>
  </si>
  <si>
    <t>1-3</t>
  </si>
  <si>
    <t>Qué pasa después del año 10. Impacto ALTO en el VPN operativo.</t>
  </si>
  <si>
    <t>Escenario regulatorio de G0 (1=multa anual / 2=única / 3=multa+suspensión / 4=cierre / 5=custom)</t>
  </si>
  <si>
    <t>1-5</t>
  </si>
  <si>
    <t>Contrafactual regulatorio COMÚN a los tres filtros (no discrimina entre ellos si todos cumplen).</t>
  </si>
  <si>
    <t>Escalamiento físico (1=constante / 2=volumen / 3=degradación / 4=disponibilidad / 5=custom)</t>
  </si>
  <si>
    <t>Relación producción-emisiones-abatimiento.</t>
  </si>
  <si>
    <t>Horizonte T</t>
  </si>
  <si>
    <t>años</t>
  </si>
  <si>
    <t>Pedagógico</t>
  </si>
  <si>
    <t>Media</t>
  </si>
  <si>
    <t>Caso ESG Challenge</t>
  </si>
  <si>
    <t>Vida útil típica de filtros industriales.</t>
  </si>
  <si>
    <t>WACC base nominal USD</t>
  </si>
  <si>
    <t>%</t>
  </si>
  <si>
    <t>Estimado</t>
  </si>
  <si>
    <t>Damodaran (2024), Cost of Capital by Sector — consulta 2026-07</t>
  </si>
  <si>
    <t>Proxy sectorial, no bottom-up. Impacto ALTO en VPN privado.</t>
  </si>
  <si>
    <t>Inflación USD (CPI)</t>
  </si>
  <si>
    <t>Observado</t>
  </si>
  <si>
    <t>Alta</t>
  </si>
  <si>
    <t>FRED CPI-U — consulta 2026-07</t>
  </si>
  <si>
    <t>π de la moneda base.</t>
  </si>
  <si>
    <t>Inflación COP</t>
  </si>
  <si>
    <t>COP</t>
  </si>
  <si>
    <t>BanRep, techo rango meta — consulta 2026-07</t>
  </si>
  <si>
    <t>Solo aplica si la moneda funcional es COP.</t>
  </si>
  <si>
    <t>Tipo de cambio inicial FX₀</t>
  </si>
  <si>
    <t>COP/USD</t>
  </si>
  <si>
    <t>Nivel de referencia 2026</t>
  </si>
  <si>
    <t>Escala los inputs USD si el selector está en COP.</t>
  </si>
  <si>
    <t>Devaluación esperada (PPP relativa)</t>
  </si>
  <si>
    <t>Técnico</t>
  </si>
  <si>
    <t>No</t>
  </si>
  <si>
    <t>1+ΔFX=(1+π_COP)/(1+π_USD)</t>
  </si>
  <si>
    <t>Consistencia cambiaria automática.</t>
  </si>
  <si>
    <t>WACC base nominal COP</t>
  </si>
  <si>
    <t>Paridad de tasas vía PPP</t>
  </si>
  <si>
    <t>Garantiza VPN comparable entre monedas.</t>
  </si>
  <si>
    <t>π aplicada a los flujos</t>
  </si>
  <si>
    <t>sel.</t>
  </si>
  <si>
    <t>0 en base Real.</t>
  </si>
  <si>
    <t>π de la moneda seleccionada</t>
  </si>
  <si>
    <t>Para conversión Fisher y deflactación social.</t>
  </si>
  <si>
    <t>Escala monetaria</t>
  </si>
  <si>
    <t>factor</t>
  </si>
  <si>
    <t>Inputs monetarios almacenados en USD.</t>
  </si>
  <si>
    <t>Tasa impositiva</t>
  </si>
  <si>
    <t>Estatuto Tributario art. 240</t>
  </si>
  <si>
    <t>Tarifa general Colombia.</t>
  </si>
  <si>
    <t>Crecimiento REAL de volumen g</t>
  </si>
  <si>
    <t>Caso</t>
  </si>
  <si>
    <t>Expansión de industria madura.</t>
  </si>
  <si>
    <t>Crecimiento aplicado a revenue</t>
  </si>
  <si>
    <t>(1+g)(1+π)−1</t>
  </si>
  <si>
    <t>Consistente con la base.</t>
  </si>
  <si>
    <t>NWC como % del revenue</t>
  </si>
  <si>
    <t>Estándar manufactura</t>
  </si>
  <si>
    <t>Capital de trabajo.</t>
  </si>
  <si>
    <t>Tasa social de descuento (REAL)</t>
  </si>
  <si>
    <t>Stern (2007); Drupp et al. (2018) AEJ:Policy</t>
  </si>
  <si>
    <t>SOLO para flujos sociales reales. Nunca para flujos corporativos.</t>
  </si>
  <si>
    <t>g terminal (continuidad)</t>
  </si>
  <si>
    <t>Debe ser &lt; WACC (validación automática M27).</t>
  </si>
  <si>
    <t>TEST — moneda de flujos = moneda de tasa</t>
  </si>
  <si>
    <t>check</t>
  </si>
  <si>
    <t>Test</t>
  </si>
  <si>
    <t>El selector fija π y WACC de la MISMA moneda.</t>
  </si>
  <si>
    <t>TEST — base de los flujos sociales</t>
  </si>
  <si>
    <t>El modelo deflacta el ΔOPEX antes de descontarlo a tasa social real.</t>
  </si>
  <si>
    <t>B. OPERACIÓN</t>
  </si>
  <si>
    <t>Revenue año 1</t>
  </si>
  <si>
    <t>US$</t>
  </si>
  <si>
    <t>Caso: 1.000.000 uds × US$100</t>
  </si>
  <si>
    <t>Base de toda la proyección.</t>
  </si>
  <si>
    <t>Salario por hora</t>
  </si>
  <si>
    <t>US$/h</t>
  </si>
  <si>
    <t>Caso (rango 10–12)</t>
  </si>
  <si>
    <t>Costo laboral unitario.</t>
  </si>
  <si>
    <t>Horas por trabajador/año</t>
  </si>
  <si>
    <t>h</t>
  </si>
  <si>
    <t>8h × 21d × 12m</t>
  </si>
  <si>
    <t>COGS materiales base (G0)</t>
  </si>
  <si>
    <t>Los filtros AGREGAN ΔMat sobre esta base.</t>
  </si>
  <si>
    <t>Compensación ejecutiva</t>
  </si>
  <si>
    <t>Caso, punto medio</t>
  </si>
  <si>
    <t>Other SG&amp;A</t>
  </si>
  <si>
    <t>Presupuesto ESG base</t>
  </si>
  <si>
    <t>Cumplimiento y reporting; la certificación de G2/G3 se suma aquí.</t>
  </si>
  <si>
    <t>EBITDA contrafactual de G0 (año 1)</t>
  </si>
  <si>
    <t>Rev − costos de G0</t>
  </si>
  <si>
    <t>Base COMÚN del escenario de suspensión (spec §10): no usa el EBITDA de G1/G2/G3.</t>
  </si>
  <si>
    <t>Margen de contribución (para revenue adicional)</t>
  </si>
  <si>
    <t>Editable</t>
  </si>
  <si>
    <t>Revenue adicional requerido = déficit EBITDA / este margen (NO se asume 100%).</t>
  </si>
  <si>
    <t>C. PARÁMETROS TÉCNICOS (B=G0 · C=G1 · D=G2 · E=G3)</t>
  </si>
  <si>
    <t>Parámetro</t>
  </si>
  <si>
    <t>G0</t>
  </si>
  <si>
    <t>G1</t>
  </si>
  <si>
    <t>G2</t>
  </si>
  <si>
    <t>G3</t>
  </si>
  <si>
    <t>Fuente</t>
  </si>
  <si>
    <t>Comentario pedagógico</t>
  </si>
  <si>
    <t>CAPEX</t>
  </si>
  <si>
    <t>Observado (Alta) — caso, USD</t>
  </si>
  <si>
    <t>El costo de entrada de cada alternativa.</t>
  </si>
  <si>
    <t>Trabajadores de producción</t>
  </si>
  <si>
    <t>Observado (Alta) — caso</t>
  </si>
  <si>
    <t>G2/G3 automatizan: ahorro privado + costo social de transición.</t>
  </si>
  <si>
    <t>Δ Materials &amp; Overhead anual</t>
  </si>
  <si>
    <t>OPEX adicional del filtro.</t>
  </si>
  <si>
    <t>Polución PM resultante</t>
  </si>
  <si>
    <t>Técnico (Media) — µg/m³</t>
  </si>
  <si>
    <t>Ruta SALUD. No se convierte a CO₂e.</t>
  </si>
  <si>
    <t>tCO₂e evitadas/año (año 1)</t>
  </si>
  <si>
    <t>SIMULADO (Baja) — GHG Protocol alcance 1, año base 2026. No verificable — requiere validación técnica</t>
  </si>
  <si>
    <t>Ruta CLIMA. Motor del valor social.</t>
  </si>
  <si>
    <t>Trabajadores desplazados vs G0</t>
  </si>
  <si>
    <t>Calculado</t>
  </si>
  <si>
    <t>Insumo del módulo de transición laboral.</t>
  </si>
  <si>
    <t>D. REGULACIÓN (contrafactual de G0 — común a los tres filtros)</t>
  </si>
  <si>
    <t>Probabilidad anual de sanción (esc. 1)</t>
  </si>
  <si>
    <t>prob</t>
  </si>
  <si>
    <t>Baja</t>
  </si>
  <si>
    <t>Caso. No verificable — requiere validación jurídica</t>
  </si>
  <si>
    <t>Multa esperada = prob × monto.</t>
  </si>
  <si>
    <t>Multa</t>
  </si>
  <si>
    <t>Transferencia: cuenta en lo PRIVADO, no en lo social.</t>
  </si>
  <si>
    <t>Meses de suspensión (esc. 3)</t>
  </si>
  <si>
    <t>meses</t>
  </si>
  <si>
    <t>Pérdida = meses/12 × EBITDA de G0 (¡no de G1/G2/G3!).</t>
  </si>
  <si>
    <t>Costos legales anuales bajo G0</t>
  </si>
  <si>
    <t>Estimación litigios/defensa</t>
  </si>
  <si>
    <t>Se evitan al cumplir la norma (esc. 1, 3, 5).</t>
  </si>
  <si>
    <t>Probabilidad de cierre forzoso (esc. 4, informativa)</t>
  </si>
  <si>
    <t>En esc. 4 la comparación relevante es G1 vs cierre (hoja 2).</t>
  </si>
  <si>
    <t>Monto anual — escenario personalizado</t>
  </si>
  <si>
    <t>Años — escenario personalizado</t>
  </si>
  <si>
    <t>E. CLIMA — precio social ≠ precio de impuesto ≠ precio de créditos</t>
  </si>
  <si>
    <t>Precio SOCIAL del carbono (shadow, real)</t>
  </si>
  <si>
    <t>US$/t</t>
  </si>
  <si>
    <t>Stern-Stiglitz (2017): US$50–100; World Bank Dashboard — consulta 2026-07</t>
  </si>
  <si>
    <t>SOLO valora bienestar. NUNCA entra al flujo corporativo. Constante en términos reales: simplificación declarada — el manual (cap. 8) pide correr tres trayectorias.</t>
  </si>
  <si>
    <t>Precio REGULADO esperado (impuesto al carbono)</t>
  </si>
  <si>
    <t>Ley 2277/2022 impuesto nal. carbono ~US$5 + expansión esperada — consulta 2026-07</t>
  </si>
  <si>
    <t>Canal de internalización 1. Flujo corporativo si el impuesto se extiende al sector.</t>
  </si>
  <si>
    <t>Probabilidad de extensión del impuesto</t>
  </si>
  <si>
    <t>Materialización del canal impuesto. Probabilidad única = simplificación declarada; el manual (cap. 12) recomienda modelar escenarios de fecha, tarifa, cobertura y duración.</t>
  </si>
  <si>
    <t>Precio de créditos de carbono</t>
  </si>
  <si>
    <t>Mercado voluntario LatAm — consulta 2026-07</t>
  </si>
  <si>
    <t>Canal 2. Ingreso por venta de reducciones elegibles.</t>
  </si>
  <si>
    <t>% de tCO₂e elegible a créditos</t>
  </si>
  <si>
    <t>Adicionalidad parcial</t>
  </si>
  <si>
    <t>No todo el abatimiento califica.</t>
  </si>
  <si>
    <t>Costo MRV anual (créditos)</t>
  </si>
  <si>
    <t>Monitoreo-reporte-verificación</t>
  </si>
  <si>
    <t>Se resta del canal créditos.</t>
  </si>
  <si>
    <t>Elegibilidad financiación sostenible (0/1)</t>
  </si>
  <si>
    <t>Pedagógico (Baja)</t>
  </si>
  <si>
    <t>G1 = cumplimiento mínimo: no califica a taxonomías.</t>
  </si>
  <si>
    <t>Greenium en costo de deuda ΔKd</t>
  </si>
  <si>
    <t>BIS (2023): 25–75 pb</t>
  </si>
  <si>
    <t>Reduce el WACC del filtro elegible.</t>
  </si>
  <si>
    <t>Costo anual de certificación</t>
  </si>
  <si>
    <t>Second-party opinion</t>
  </si>
  <si>
    <t>Va al P&amp;L (presupuesto ESG).</t>
  </si>
  <si>
    <t>Peso de la deuda</t>
  </si>
  <si>
    <t>Estructura 40/60</t>
  </si>
  <si>
    <t>ΔWACC = eleg × peso × (1−τ) × ΔKd.</t>
  </si>
  <si>
    <t>WACC del filtro (nominal, moneda sel.)</t>
  </si>
  <si>
    <t>Cada filtro tiene su costo de capital.</t>
  </si>
  <si>
    <t>WACC del filtro APLICADO (base sel.)</t>
  </si>
  <si>
    <t>Fisher</t>
  </si>
  <si>
    <t>r_real = (1+r_nom)/(1+π)−1.</t>
  </si>
  <si>
    <t>F. SALUD Y CONTAMINACIÓN LOCAL</t>
  </si>
  <si>
    <t>Valor sanitario SOCIAL por µg/m³·año (real)</t>
  </si>
  <si>
    <t>US$/(µg·año)</t>
  </si>
  <si>
    <t>Simulado</t>
  </si>
  <si>
    <t>SIN función dosis-respuesta ni estudio local. No verificable — requiere validación técnica</t>
  </si>
  <si>
    <t>SOLO bienestar. Supuesto ilustrativo no apto para decisión real.</t>
  </si>
  <si>
    <t>Población expuesta (contexto)</t>
  </si>
  <si>
    <t>personas</t>
  </si>
  <si>
    <t>Radio de 10 km — simulado</t>
  </si>
  <si>
    <t>Dato de contexto: un estudio real derivaría el valor sanitario de aquí.</t>
  </si>
  <si>
    <t>Cargo regulatorio sanitario evitado por µg·año</t>
  </si>
  <si>
    <t>Tasas retributivas/compensatorias esperadas</t>
  </si>
  <si>
    <t>Canal de internalización 3: flujo corporativo, NO bienestar.</t>
  </si>
  <si>
    <t>Probabilidad de regulación sanitaria</t>
  </si>
  <si>
    <t>Materialización del canal salud.</t>
  </si>
  <si>
    <t>Factor reputacional por filtro</t>
  </si>
  <si>
    <t>Credibilidad ESG gradual.</t>
  </si>
  <si>
    <t>Premium reputacional (% del revenue)</t>
  </si>
  <si>
    <t>Eccles &amp; Klimenko (2019), HBR</t>
  </si>
  <si>
    <t>Canal 4 — YA dentro del VPN privado.</t>
  </si>
  <si>
    <t>Margen incremental del premium</t>
  </si>
  <si>
    <t>El revenue extra no es utilidad al 100%.</t>
  </si>
  <si>
    <t>Probabilidad del premium</t>
  </si>
  <si>
    <t>Materialización del canal reputación.</t>
  </si>
  <si>
    <t>Degradación anual del filtro δ (físico 3)</t>
  </si>
  <si>
    <t>Disponibilidad con mantenimiento (físico 4)</t>
  </si>
  <si>
    <t>Factor personalizado (físico 5)</t>
  </si>
  <si>
    <t>G. TRANSICIÓN LABORAL</t>
  </si>
  <si>
    <t>Indemnización por trabajador</t>
  </si>
  <si>
    <t>CST Colombia aprox.</t>
  </si>
  <si>
    <t>Costo PRIVADO one-time año 0.</t>
  </si>
  <si>
    <t>Meses de desempleo esperados</t>
  </si>
  <si>
    <t>Ya neto de recolocación rápida.</t>
  </si>
  <si>
    <t>Costo de capacitación por trabajador</t>
  </si>
  <si>
    <t>SENA/reconversión</t>
  </si>
  <si>
    <t>Costo social.</t>
  </si>
  <si>
    <t>Tasa de recolocación (informativa)</t>
  </si>
  <si>
    <t>Incluida vía meses de desempleo.</t>
  </si>
  <si>
    <t>Factor de salario sombra</t>
  </si>
  <si>
    <t>Boardman et al., CBA</t>
  </si>
  <si>
    <t>Fracción del salario que es costo social real.</t>
  </si>
  <si>
    <t>H. TERMINAL, CIERRE Y RESTRICCIONES</t>
  </si>
  <si>
    <t>Valor residual (% CAPEX, año 10)</t>
  </si>
  <si>
    <t>Rescate al cierre.</t>
  </si>
  <si>
    <t>Costo de desmantelamiento</t>
  </si>
  <si>
    <t>Pasivo ambiental de cierre</t>
  </si>
  <si>
    <t>Factor CAPEX de reposición (terminal 3)</t>
  </si>
  <si>
    <t>Reinversión año 10 indexada por π.</t>
  </si>
  <si>
    <t>Valor de liquidación de activos (cierre HOY)</t>
  </si>
  <si>
    <t>Contrafactual B.</t>
  </si>
  <si>
    <t>EBITDA mínimo año 1</t>
  </si>
  <si>
    <t>Restricción dura del caso</t>
  </si>
  <si>
    <t>La restricción que excluye a G2 y G3 en el caso base.</t>
  </si>
  <si>
    <t>Margen EBITDA terminal mínimo</t>
  </si>
  <si>
    <t>Viabilidad</t>
  </si>
  <si>
    <t>CAPEX máximo (vacío = sin límite)</t>
  </si>
  <si>
    <t>Presupuesto</t>
  </si>
  <si>
    <t>VPN privado mínimo (vacío = sin límite)</t>
  </si>
  <si>
    <t>Umbral</t>
  </si>
  <si>
    <t>LCOA social máximo (vacío = sin límite)</t>
  </si>
  <si>
    <t>Política interna</t>
  </si>
  <si>
    <t>Eficiencia mínima de abatimiento.</t>
  </si>
  <si>
    <t>RETROALIMENTACIÓN AUTOMÁTICA</t>
  </si>
  <si>
    <t>I. PARÁMETROS AVANZADOS — fiscalidad de canales, acumulabilidad y terminal</t>
  </si>
  <si>
    <t>Regla de acumulabilidad impuesto-créditos (1=acumulables / 2=excluyentes / 3=créditos solo sobre toneladas no usadas / 4=% personalizado)</t>
  </si>
  <si>
    <t>Base conservadora: créditos solo sobre toneladas no usadas para cumplimiento. Explore las reglas 1, 2 y 4 y observe el canal de créditos.</t>
  </si>
  <si>
    <t>% de toneladas usadas para cumplimiento tributario</t>
  </si>
  <si>
    <t>Aplica en la regla 3: créditos solo sobre el remanente.</t>
  </si>
  <si>
    <t>% personalizado para créditos (regla 4)</t>
  </si>
  <si>
    <t>Tratamiento fiscal — canal impuesto evitado</t>
  </si>
  <si>
    <t>Deducible evitado</t>
  </si>
  <si>
    <t>Evitar un costo deducible pierde el escudo fiscal: neto = bruto × (1−τ).</t>
  </si>
  <si>
    <t>Tratamiento fiscal — canal créditos</t>
  </si>
  <si>
    <t>Gravado</t>
  </si>
  <si>
    <t>Ingreso gravable: neto = bruto × (1−τ).</t>
  </si>
  <si>
    <t>Tratamiento fiscal — canal cargo sanitario</t>
  </si>
  <si>
    <t>Incierto</t>
  </si>
  <si>
    <t>Sin norma clara: escenario base (1−τ) + alerta amarilla + sensibilidad M11.</t>
  </si>
  <si>
    <t>CAPEX de mantenimiento (continuidad): método (1=% depreciación / 2=% revenue / 3=manual)</t>
  </si>
  <si>
    <t>El TV normalizado debe reinvertir para sostener g.</t>
  </si>
  <si>
    <t>CAPEX mantenimiento como % de la depreciación</t>
  </si>
  <si>
    <t>100% = reponer el desgaste.</t>
  </si>
  <si>
    <t>CAPEX mantenimiento como % del revenue</t>
  </si>
  <si>
    <t>CAPEX mantenimiento manual (US$ año 10)</t>
  </si>
  <si>
    <t>3. MODELO FINANCIERO — VALOR DE LA OPERACIÓN COMPLETA BAJO CADA FILTRO</t>
  </si>
  <si>
    <t>GUÍA DE CONSTRUCCIÓN — ETAPA 2 · manual caps. 3, 4, 5 y 6 — CONSTRUYA para cada filtro: (1) revenue con crecimiento aplicado; (2) costos (laboral por plantilla del filtro, materiales base + Δ, compensación, SG&amp;A, ESG + certificación) indexados por π; (3) EBITDA, depreciación lineal, EBIT, impuesto sobre MAX(0;EBIT), NOPAT; (4) CAPEX y transición privada en el año 0; ΔNWC = 10% del Δrevenue; (5) ajuste terminal según el selector B9 (cierre / TV normalizado / anualidad equivalente — recuerde bloquear con NA() si WACC ≤ g); (6) FCFF, acumulado y factores de descuento al WACC del filtro; (7) filas privadas: costo regulatorio evitado del escenario (sobre el EBITDA de G0), premium neto de impuestos, FCF privado; (8) métricas: VPN por SUMPRODUCT con la fila de factores, TIR/MIRR, PI, payback, LCOA corporativo, margen terminal, EBITDA año 1 y factibilidad contra B100.</t>
  </si>
  <si>
    <t>Cierre</t>
  </si>
  <si>
    <t>Continuidad</t>
  </si>
  <si>
    <t>Reposición</t>
  </si>
  <si>
    <t>Índice de año →</t>
  </si>
  <si>
    <t>FILTRO G1 — operación completa (P&amp;L → FCFF → métricas)</t>
  </si>
  <si>
    <t>Concepto</t>
  </si>
  <si>
    <t>Año 0</t>
  </si>
  <si>
    <t>Año 1</t>
  </si>
  <si>
    <t>Año 2</t>
  </si>
  <si>
    <t>Año 3</t>
  </si>
  <si>
    <t>Año 4</t>
  </si>
  <si>
    <t>Año 5</t>
  </si>
  <si>
    <t>Año 6</t>
  </si>
  <si>
    <t>Año 7</t>
  </si>
  <si>
    <t>Año 8</t>
  </si>
  <si>
    <t>Año 9</t>
  </si>
  <si>
    <t>Año 10</t>
  </si>
  <si>
    <t>Revenue</t>
  </si>
  <si>
    <t>(−) Costo laboral</t>
  </si>
  <si>
    <t>(−) Materials &amp; OH</t>
  </si>
  <si>
    <t>(−) Comp. ejecutiva</t>
  </si>
  <si>
    <t>(−) Other SG&amp;A</t>
  </si>
  <si>
    <t>(−) Presupuesto ESG + certificación</t>
  </si>
  <si>
    <t>EBITDA</t>
  </si>
  <si>
    <t>(−) Depreciación</t>
  </si>
  <si>
    <t>EBIT</t>
  </si>
  <si>
    <t>(−) Impuestos</t>
  </si>
  <si>
    <t>NOPAT</t>
  </si>
  <si>
    <t>(+) Depreciación</t>
  </si>
  <si>
    <t>(−) CAPEX</t>
  </si>
  <si>
    <t>(−) Transición laboral privada (año 0)</t>
  </si>
  <si>
    <t>(±) Δ Working Capital</t>
  </si>
  <si>
    <t>Ajuste terminal año 10 — 1: cierre completo · 2: continuidad con TV (NOPAT₁₁ + Dep − CAPEX mantenimiento; ΔNWC₁₁ se prefunda en la fila anterior) · 3: reposición mediante anualidad equivalente recurrente</t>
  </si>
  <si>
    <t>FCFF operación completa</t>
  </si>
  <si>
    <t>FCFF acumulado</t>
  </si>
  <si>
    <t>Factor de descuento (WACC filtro)</t>
  </si>
  <si>
    <t>Δ OPEX vs G0 (nominal)</t>
  </si>
  <si>
    <t>Δ OPEX vs G0 REAL (deflactado — para valoración social)</t>
  </si>
  <si>
    <t>Factor físico de emisiones</t>
  </si>
  <si>
    <t>[PRIVADO] Costo regulatorio evitado (escenario, sobre G0)</t>
  </si>
  <si>
    <t>[PRIVADO] Premium reputacional neto</t>
  </si>
  <si>
    <t>FCF PRIVADO TOTAL</t>
  </si>
  <si>
    <t>FCF privado acumulado</t>
  </si>
  <si>
    <t>MÉTRICAS G1 — operativas y privadas (alineadas con su definición de flujo)</t>
  </si>
  <si>
    <t>VPN OPERATIVO — VP(FCFF operación completa)</t>
  </si>
  <si>
    <t xml:space="preserve">  + VP costo regulatorio evitado</t>
  </si>
  <si>
    <t xml:space="preserve">  + VP premium reputacional neto</t>
  </si>
  <si>
    <t>VPN PRIVADO (empresa)</t>
  </si>
  <si>
    <t>TIR operativa (de TODA la operación)</t>
  </si>
  <si>
    <t>MIRR operativa</t>
  </si>
  <si>
    <t>PI operativo (VP+/|VP−|)</t>
  </si>
  <si>
    <t>Payback operativo</t>
  </si>
  <si>
    <t>TIR privada</t>
  </si>
  <si>
    <t>MIRR privada</t>
  </si>
  <si>
    <t>PI privado</t>
  </si>
  <si>
    <t>Payback privado</t>
  </si>
  <si>
    <t>LCOA CORPORATIVO (WACC filtro) — incremental frente a G0</t>
  </si>
  <si>
    <t>Margen EBITDA terminal</t>
  </si>
  <si>
    <t>EBITDA año 1 / factibilidad</t>
  </si>
  <si>
    <t>FILTRO G2 — operación completa (P&amp;L → FCFF → métricas)</t>
  </si>
  <si>
    <t>MÉTRICAS G2 — operativas y privadas (alineadas con su definición de flujo)</t>
  </si>
  <si>
    <t>FILTRO G3 — operación completa (P&amp;L → FCFF → métricas)</t>
  </si>
  <si>
    <t>MÉTRICAS G3 — operativas y privadas (alineadas con su definición de flujo)</t>
  </si>
  <si>
    <t>4A. IMPACTOS SOCIOAMBIENTALES — perspectiva SOCIEDAD</t>
  </si>
  <si>
    <t>GUÍA DE CONSTRUCCIÓN — ETAPAS 3-5 · manual caps. 7 a 12 — SECCIÓN A (sociedad, tasa social real 3%): flujos reales de clima (tCO₂e × factor físico × precio sombra B61) y salud (ΔPM × valor sanitario B75); ajuste por salario sombra (+costo = desplazados × salario × (1−B92), deflactado); transición laboral en el año 1; costo social de recursos = CAPEX + VP(ΔOPEX real) + certificación/MRV reales; VPN social neto y LCOA social. SECCIÓN B (empresa, WACC del filtro): canales bruto → factor fiscal → neto (impuesto evitado con B62×B63; créditos con B64-B66 y la regla de acumulabilidad B114; cargo sanitario con B77×B78); identidad de toneladas; VP de canales neto y VPN internalizado = VPN privado + VP canales.</t>
  </si>
  <si>
    <t>FILTRO G1 — flujos sociales reales y VPN socioambiental neto parcial</t>
  </si>
  <si>
    <t>Beneficio climático: tCO₂e × factor físico × precio social (real)</t>
  </si>
  <si>
    <t>Beneficio sanitario: ΔPM × factor físico × valor sanitario (real)</t>
  </si>
  <si>
    <t>(−) Costo social de transición laboral (año 1, real)</t>
  </si>
  <si>
    <t>(−) Δ OPEX social REAL (deflactado, ref. hoja 2)</t>
  </si>
  <si>
    <t>VP beneficio climático (tasa social real 3%)</t>
  </si>
  <si>
    <t>VP beneficio sanitario (tasa social real 3%)</t>
  </si>
  <si>
    <t>(−) VP costo social de transición</t>
  </si>
  <si>
    <t>(−) Costo social de recursos = CAPEX + VP(ΔOPEX real) + VP(certificación y MRV reales)</t>
  </si>
  <si>
    <t>VPN SOCIOAMBIENTAL NETO PARCIAL</t>
  </si>
  <si>
    <t>LCOA SOCIAL (tasa social real) — incremental frente a G0</t>
  </si>
  <si>
    <t>(−) Ajuste por salario sombra = ahorro laboral privado × (1−sombra) (costo adicional para pasar de precios de mercado a costo social real)</t>
  </si>
  <si>
    <t>VP ajuste por salario sombra (tasa social real)</t>
  </si>
  <si>
    <t>FILTRO G2 — flujos sociales reales y VPN socioambiental neto parcial</t>
  </si>
  <si>
    <t>FILTRO G3 — flujos sociales reales y VPN socioambiental neto parcial</t>
  </si>
  <si>
    <t>Retroalimentación: el ΔOPEX privado contiene el ahorro salarial al 100%. Para valoración social se agrega como costo la fracción (1−salario sombra), de modo que el beneficio neto por liberar trabajo sea exactamente el salario sombra. El MRV solo se carga cuando existen toneladas efectivamente elegibles para créditos.</t>
  </si>
  <si>
    <t>4B. INTERNALIZACIÓN — flujos corporativos por canal</t>
  </si>
  <si>
    <t>ETAPA 5. Cada canal construye su propio flujo corporativo, neto de impuestos y sujeto a la regla de acumulabilidad. El precio social valora bienestar; los precios regulados y de créditos generan caja. La regla base conservadora evita usar la misma tonelada simultáneamente para cumplimiento y créditos.</t>
  </si>
  <si>
    <t>FILTRO G1 — canales de internalización</t>
  </si>
  <si>
    <t>Canal (flujo corporativo esperado)</t>
  </si>
  <si>
    <t>CF impuesto al carbono = tCO₂e × factor × precio regulado × prob (nominal) (BRUTO)</t>
  </si>
  <si>
    <t>CF créditos = tCO₂e elegibles × factor × precio crédito − MRV (nominal) (BRUTO)</t>
  </si>
  <si>
    <t>CF regulación sanitaria = ΔPM × factor × cargo evitado × prob (nominal) (BRUTO)</t>
  </si>
  <si>
    <t>CF total de canales</t>
  </si>
  <si>
    <t>VP canal impuesto BRUTO (WACC filtro)</t>
  </si>
  <si>
    <t>VP canal créditos BRUTO (WACC filtro)</t>
  </si>
  <si>
    <t>VP canal sanitario BRUTO (WACC filtro)</t>
  </si>
  <si>
    <t>VP TOTAL DE CANALES — NETO de impuestos y regla de acumulabilidad</t>
  </si>
  <si>
    <t>VPN INTERNALIZADO = VPN privado + VP canales</t>
  </si>
  <si>
    <t>FILTRO G2 — canales de internalización</t>
  </si>
  <si>
    <t>FILTRO G3 — canales de internalización</t>
  </si>
  <si>
    <t>MATRIZ DE CANALES Y CONTROL DE DOBLE CONTEO</t>
  </si>
  <si>
    <t>Externalidad</t>
  </si>
  <si>
    <t>Precio/valor usado</t>
  </si>
  <si>
    <t>¿Dónde vive?</t>
  </si>
  <si>
    <t>Tasa de descuento</t>
  </si>
  <si>
    <t>Control de doble conteo</t>
  </si>
  <si>
    <t>Clima — bienestar</t>
  </si>
  <si>
    <t>Precio social 75 (Inputs B61)</t>
  </si>
  <si>
    <t>Hoja 5 (VPN social)</t>
  </si>
  <si>
    <t>Tasa social real 3%</t>
  </si>
  <si>
    <t>Nunca entra al flujo corporativo</t>
  </si>
  <si>
    <t>Clima — impuesto</t>
  </si>
  <si>
    <t>Precio regulado 25 × prob 50% (B62-B63)</t>
  </si>
  <si>
    <t>Esta hoja (canal 1)</t>
  </si>
  <si>
    <t>WACC del filtro</t>
  </si>
  <si>
    <t>Distinto del precio social; no se suma al VPN social</t>
  </si>
  <si>
    <t>Clima — créditos</t>
  </si>
  <si>
    <t>Precio crédito 10 × 30% elegible − MRV (B64-B66)</t>
  </si>
  <si>
    <t>Esta hoja (canal 2)</t>
  </si>
  <si>
    <t>Solo tCO₂e adicionales elegibles</t>
  </si>
  <si>
    <t>Salud — bienestar</t>
  </si>
  <si>
    <t>Valor sanitario 3M/µg (B75, ilustrativo)</t>
  </si>
  <si>
    <t>Salud — regulación</t>
  </si>
  <si>
    <t>Cargo evitado 200k/µg × prob 50% (B77-B78)</t>
  </si>
  <si>
    <t>Esta hoja (canal 3)</t>
  </si>
  <si>
    <t>Distinto del valor de bienestar</t>
  </si>
  <si>
    <t>Reputación</t>
  </si>
  <si>
    <t>Premium 0,5% × factor × margen 30% × prob (B79-B82)</t>
  </si>
  <si>
    <t>Hoja 4 (VPN privado)</t>
  </si>
  <si>
    <t>θ mercado = 0 aquí: ya está en el privado</t>
  </si>
  <si>
    <t>Costo de capital</t>
  </si>
  <si>
    <t>Greenium ΔKd (B67-B70)</t>
  </si>
  <si>
    <t>Hoja 4 (WACC del filtro)</t>
  </si>
  <si>
    <t>θ subsidios = 0 aquí: ya reduce el WACC</t>
  </si>
  <si>
    <t>TABLA FISCAL POR CANAL — flujo bruto → impuesto incremental → flujo neto</t>
  </si>
  <si>
    <t>Canal</t>
  </si>
  <si>
    <t>Tratamiento (Inputs)</t>
  </si>
  <si>
    <t>Tasa fiscal</t>
  </si>
  <si>
    <t>Factor neto</t>
  </si>
  <si>
    <t>VP bruto G3</t>
  </si>
  <si>
    <t>Impuesto incr. G3 (VP)</t>
  </si>
  <si>
    <t>VP neto G3</t>
  </si>
  <si>
    <t>Nota</t>
  </si>
  <si>
    <t>Impuesto al carbono evitado</t>
  </si>
  <si>
    <t>Costo deducible evitado: se pierde el escudo → ×(1−τ).</t>
  </si>
  <si>
    <t>Créditos de carbono</t>
  </si>
  <si>
    <t>Ingreso gravable → ×(1−τ). Neto de MRV.</t>
  </si>
  <si>
    <t>Cargo sanitario evitado</t>
  </si>
  <si>
    <t>Tratamiento INCIERTO: escenario base (1−τ) + alerta + sensibilidad M11.</t>
  </si>
  <si>
    <t>Subsidios</t>
  </si>
  <si>
    <t>Sin subsidio en el caso base (flujo 0); si se activa, definir gravamen.</t>
  </si>
  <si>
    <t>Premium reputacional</t>
  </si>
  <si>
    <t>YA neto de impuestos en el VPN privado (hoja 2, ×(1−τ)).</t>
  </si>
  <si>
    <t>Greenium</t>
  </si>
  <si>
    <t>No es flujo: reduce el WACC del filtro (Inputs fila 71).</t>
  </si>
  <si>
    <t>Otros incentivos</t>
  </si>
  <si>
    <t>No modelados; espacio para extensión.</t>
  </si>
  <si>
    <t>Factor de acumulabilidad para créditos (regla Inputs B114)</t>
  </si>
  <si>
    <t>1=acumulables · 2=excluyentes · 3=créditos solo sobre toneladas no usadas para cumplimiento (base conservadora) · 4=% personalizado.</t>
  </si>
  <si>
    <t>ASIGNACIÓN DE TONELADAS — identidad anti doble monetización (prueba QA 9)</t>
  </si>
  <si>
    <t>Concepto (año 1)</t>
  </si>
  <si>
    <t>tCO₂e evitadas totales</t>
  </si>
  <si>
    <t>tCO₂e usadas para cumplimiento tributario</t>
  </si>
  <si>
    <t>tCO₂e elegibles para créditos (según regla)</t>
  </si>
  <si>
    <t>tCO₂e no monetizadas (residual)</t>
  </si>
  <si>
    <t>Identidad: total = cumplimiento + créditos + no monetizadas</t>
  </si>
  <si>
    <t>La regla base es conservadora: con 100% de toneladas usadas para cumplimiento, el canal de créditos queda en cero y no se incurre en MRV. Las reglas 1 y 4 permiten explorar otros marcos.</t>
  </si>
  <si>
    <t>5A. RESTRICCIONES Y DECISIÓN</t>
  </si>
  <si>
    <t>GUÍA DE CONSTRUCCIÓN — ETAPAS 6-7 · manual caps. 14 y 15 — SECCIÓN A: tabla de restricciones (CUMPLE/NO), factibilidad global, brechas (déficit de EBITDA, revenue adicional = déficit/B40, subsidio, CAPEX máximo), ganadora sin restricciones y ganadora FACTIBLE con el caso NINGUNA (si COUNTIF de factibles = 0), segunda mejor y narrativa dinámica sin nombres escritos a mano. SECCIÓN B: ΔFCF privado de G2−G1, G3−G1 y G3−G2; conteo de cambios de signo; TIR/MIRR/PI/payback incrementales; LCOA incremental corporativo y social; contrafactual de cierre SIN sumar la multa en ningún lado.</t>
  </si>
  <si>
    <t>A. TABLA DE RESTRICCIONES</t>
  </si>
  <si>
    <t>Restricción</t>
  </si>
  <si>
    <t>EBITDA año 1 &gt;= mínimo</t>
  </si>
  <si>
    <t>Margen EBITDA terminal &gt;= mínimo</t>
  </si>
  <si>
    <t>CAPEX &lt;= máximo (si aplica)</t>
  </si>
  <si>
    <t>VPN privado &gt;= mínimo (si aplica)</t>
  </si>
  <si>
    <t>LCOA social &lt;= máximo (si aplica)</t>
  </si>
  <si>
    <t>Cumplimiento regulatorio</t>
  </si>
  <si>
    <t>FACTIBILIDAD GLOBAL</t>
  </si>
  <si>
    <t>B. ¿QUÉ NECESITA CADA FILTRO PARA SER FACTIBLE?</t>
  </si>
  <si>
    <t>Brecha (fórmulas vivas)</t>
  </si>
  <si>
    <t>Déficit de EBITDA año 1</t>
  </si>
  <si>
    <t>Reducción de OPEX requerida (año 1)</t>
  </si>
  <si>
    <t>Revenue adicional requerido = déficit / margen de contribución</t>
  </si>
  <si>
    <t>Reducción de plantilla equivalente (trabajadores)</t>
  </si>
  <si>
    <t>Subsidio anual necesario</t>
  </si>
  <si>
    <t>CAPEX máximo admisible (VPN privado = 0, aprox.)</t>
  </si>
  <si>
    <t>Precio de carbono para LCOA social &lt;= precio</t>
  </si>
  <si>
    <t>El revenue adicional usa el margen de contribución editable (Inputs B40) — no se asume margen del 100%.</t>
  </si>
  <si>
    <t>C. DECISIÓN DINÁMICA</t>
  </si>
  <si>
    <t>Perspectiva de decisión (editar)</t>
  </si>
  <si>
    <t>Internalizado</t>
  </si>
  <si>
    <t>Alternativas factibles</t>
  </si>
  <si>
    <t>Ganadora SIN restricciones</t>
  </si>
  <si>
    <t>Ganadora FACTIBLE</t>
  </si>
  <si>
    <t>Segunda mejor factible</t>
  </si>
  <si>
    <t>Restricción dominante</t>
  </si>
  <si>
    <t>NARRATIVA GENÉRICA (challenger y break-even automáticos desde la tabla PE de la hoja 2)</t>
  </si>
  <si>
    <t>5B. ANÁLISIS INCREMENTAL — el centro de la decisión</t>
  </si>
  <si>
    <t>ETAPA 6. Contrafactual C: G1 = inversión mínima legal. Los flujos comunes (revenue base, NWC, regulatorio común) se CANCELAN en las restas. Descuento: WACC del filtro superior. ERROR COMÚN: comparar VPNs absolutos de la operación completa.</t>
  </si>
  <si>
    <t>FLUJOS INCREMENTALES ΔFCF PRIVADO</t>
  </si>
  <si>
    <t>Δ (upgrade)</t>
  </si>
  <si>
    <t>Cambios de signo</t>
  </si>
  <si>
    <t>ΔFCF privado G2 − G1</t>
  </si>
  <si>
    <t>ΔFCF privado G3 − G1</t>
  </si>
  <si>
    <t>ΔFCF privado G3 − G2</t>
  </si>
  <si>
    <t>Δ acumulado G2 − G1</t>
  </si>
  <si>
    <t>Δ acumulado G3 − G1</t>
  </si>
  <si>
    <t>Δ acumulado G3 − G2</t>
  </si>
  <si>
    <t>MÉTRICAS INCREMENTALES</t>
  </si>
  <si>
    <t>Métrica</t>
  </si>
  <si>
    <t>G2 − G1</t>
  </si>
  <si>
    <t>G3 − G1</t>
  </si>
  <si>
    <t>G3 − G2</t>
  </si>
  <si>
    <t>Δ CAPEX (+ transición privada año 0)</t>
  </si>
  <si>
    <t>Δ OPEX año 1 (nominal)</t>
  </si>
  <si>
    <t>Δ VPN PRIVADO (WACC filtro superior)</t>
  </si>
  <si>
    <t>TIR incremental</t>
  </si>
  <si>
    <t>MIRR incremental</t>
  </si>
  <si>
    <t>PI incremental (VP+/|VP−|)</t>
  </si>
  <si>
    <t>Payback incremental</t>
  </si>
  <si>
    <t>Δ Premium reputacional (VP)</t>
  </si>
  <si>
    <t>Δ VP canales de internalización</t>
  </si>
  <si>
    <t>Δ VPN SOCIOAMBIENTAL NETO</t>
  </si>
  <si>
    <t>Δ VPN INTERNALIZADO</t>
  </si>
  <si>
    <t>Δ tCO₂e/año (año 1)</t>
  </si>
  <si>
    <t>LCOA incremental CORPORATIVO</t>
  </si>
  <si>
    <t>LCOA incremental SOCIAL (flujos reales, tasa social)</t>
  </si>
  <si>
    <t>Retroalimentación: Correcto — los flujos comunes fueron cancelados. La TIR con mensaje indica cuándo usar MIRR.</t>
  </si>
  <si>
    <t>CONTRAFACTUAL B — CIERRE INMEDIATO (sin doble conteo de la multa)</t>
  </si>
  <si>
    <t>VPN privado del CIERRE = NWC recuperado + liquidación − desmantelamiento − pasivo ambiental − indemnizaciones (800 trab.)</t>
  </si>
  <si>
    <t>VPN de G1 FRENTE AL CIERRE = (VPN operativo G1 + VP premium G1) − VPN cierre — la multa se EXCLUYE de ambos lados</t>
  </si>
  <si>
    <t>Costo social del cierre (transición de 800 trabajadores, salario sombra)</t>
  </si>
  <si>
    <t>DATOS MACC (curva marginal de abatimiento)</t>
  </si>
  <si>
    <t>Upgrade</t>
  </si>
  <si>
    <t>Δ tCO₂e/año</t>
  </si>
  <si>
    <t>LCOA incr. corp.</t>
  </si>
  <si>
    <t>LCOA incr. social</t>
  </si>
  <si>
    <t>Precio social</t>
  </si>
  <si>
    <t>6. SENSIBILIDADES — matrices, puntos de equilibrio y materialidad</t>
  </si>
  <si>
    <t>GUÍA DE CONSTRUCCIÓN — ETAPA 7 · manual caps. 8, 10 y 16 — Construya el cuerpo de las matrices leyendo los encabezados azules (ya editables); use la tasa coherente con cada perspectiva (tasa social × precio sombra para lo social; WACC × drivers corporativos para lo privado e internalizado). Derive los puntos de equilibrio por perspectiva (¿qué valor del driver iguala a la ganadora con su challenger?) y complete la criticidad de supuestos: impacto ±20%, índice con desempate ROW()/10^6, rank de NIVEL y rank de RANKING.</t>
  </si>
  <si>
    <t>M1 — WACC × precio social (ganadora por VALOR TOTAL = privado + social neto)</t>
  </si>
  <si>
    <t>M2 — prob. impuesto × precio regulado (ganadora por VPN internalizado)</t>
  </si>
  <si>
    <t>WACC \ s</t>
  </si>
  <si>
    <t>prob \ precio</t>
  </si>
  <si>
    <t>M3 — Δ% tCO₂e × precio social (ganadora por VPN social neto)</t>
  </si>
  <si>
    <t>M4 — Δ% PM evitado × valor sanitario (ganadora por VPN social neto)</t>
  </si>
  <si>
    <t>Δt \ s</t>
  </si>
  <si>
    <t>ΔPM \ v</t>
  </si>
  <si>
    <t>M5 — Δ% CAPEX × Δ% OPEX (ganadora por VPN privado; aprox. lineal declarada)</t>
  </si>
  <si>
    <t>M6 — Δ% revenue × Δ% costo laboral (N° de alternativas factibles; 0 = NINGUNA)</t>
  </si>
  <si>
    <t>ΔK \ ΔO</t>
  </si>
  <si>
    <t>ΔRev \ ΔLab</t>
  </si>
  <si>
    <t>M7 — EBITDA mínimo × Δ% costo de materiales (N° factibles; 0 = NINGUNA)</t>
  </si>
  <si>
    <t>M8 — tasa social × valor sanitario (ganadora por VPN social neto)</t>
  </si>
  <si>
    <t>Mín \ ΔMat</t>
  </si>
  <si>
    <t>rs \ v</t>
  </si>
  <si>
    <t>M9 — terminal: WACC × g (valor terminal de G1, continuidad)</t>
  </si>
  <si>
    <t>M10 — prob. sanción × multa (VP regulatorio, esc. 1; común a los 3)</t>
  </si>
  <si>
    <t>WACC \ g</t>
  </si>
  <si>
    <t>prob \ multa</t>
  </si>
  <si>
    <t>Común a G1/G2/G3: mueve el nivel del VPN privado, no el ranking — el regulatorio no discrimina entre filtros que cumplen.</t>
  </si>
  <si>
    <t>PUNTOS DE EQUILIBRIO — fórmulas vivas</t>
  </si>
  <si>
    <t>1. Precio regulado del impuesto* para que G3 = G1 (VPN internalizado)</t>
  </si>
  <si>
    <t>2. Precio social del carbono* para que G3 = G1 (valor total: privado + social)</t>
  </si>
  <si>
    <t>3. Reducción de OPEX año 1 para hacer FACTIBLE a G3</t>
  </si>
  <si>
    <t>4a. Revenue ADICIONAL para factibilidad de G2 (déficit / margen contrib.)</t>
  </si>
  <si>
    <t>4b. Revenue ADICIONAL para factibilidad de G3 (déficit / margen contrib.)</t>
  </si>
  <si>
    <t>5. CAPEX máximo admisible G3 (VPN privado = 0; aprox. sin re-escudo)</t>
  </si>
  <si>
    <t>6. Cargo sanitario regulatorio* para que G3 = G1 (VPN internalizado)</t>
  </si>
  <si>
    <t>7. Multa anual* para que invertir en G1 domine al cierre</t>
  </si>
  <si>
    <t>8. g terminal mínimo para que continuidad &gt;= cierre (G1)</t>
  </si>
  <si>
    <t>9. Precio de carbono requerido para LCOA social &lt;= precio (G1 / G2 / G3)</t>
  </si>
  <si>
    <t>MATERIALIDAD DUAL — riesgo para el NIVEL de valor vs riesgo para el RANKING (IDs únicos, sin empates)</t>
  </si>
  <si>
    <t>ID</t>
  </si>
  <si>
    <t>Supuesto</t>
  </si>
  <si>
    <t>Conf. (score)</t>
  </si>
  <si>
    <t>Perspectiva afectada</t>
  </si>
  <si>
    <t>Impacto |±20%</t>
  </si>
  <si>
    <t>Índice VALOR</t>
  </si>
  <si>
    <t>Rank VALOR</t>
  </si>
  <si>
    <t>¿Cambia ranking?</t>
  </si>
  <si>
    <t>Ratio impacto/gap</t>
  </si>
  <si>
    <t>Rank RANKING</t>
  </si>
  <si>
    <t>Acción recomendada</t>
  </si>
  <si>
    <t>S01</t>
  </si>
  <si>
    <t>Precio regulado del impuesto al carbono</t>
  </si>
  <si>
    <t>Validar trayectoria del impuesto (Ley 2277) antes de decidir</t>
  </si>
  <si>
    <t>S02</t>
  </si>
  <si>
    <t>Análisis regulatorio prospectivo</t>
  </si>
  <si>
    <t>S03</t>
  </si>
  <si>
    <t>tCO2e evitadas por G3 (simulado)</t>
  </si>
  <si>
    <t>Social + Internalizado</t>
  </si>
  <si>
    <t>Inventario GHG Protocol verificado — prioridad 1</t>
  </si>
  <si>
    <t>S04</t>
  </si>
  <si>
    <t>Precio social del carbono (shadow)</t>
  </si>
  <si>
    <t>Social</t>
  </si>
  <si>
    <t>Rango Stern-Stiglitz 50-100; usar M1/M3</t>
  </si>
  <si>
    <t>S05</t>
  </si>
  <si>
    <t>Valor sanitario por ug/m3 (ilustrativo)</t>
  </si>
  <si>
    <t>Estudio dosis-respuesta local — no decidir sin él</t>
  </si>
  <si>
    <t>S06</t>
  </si>
  <si>
    <t>Multa × probabilidad (esc. 1)</t>
  </si>
  <si>
    <t>Privado (nivel)</t>
  </si>
  <si>
    <t>Concepto jurídico — afecta nivel, no ranking</t>
  </si>
  <si>
    <t>S07</t>
  </si>
  <si>
    <t>CAPEX de G3</t>
  </si>
  <si>
    <t>Privado</t>
  </si>
  <si>
    <t>Cotizaciones en firme</t>
  </si>
  <si>
    <t>S08</t>
  </si>
  <si>
    <t>Delta OPEX de G3</t>
  </si>
  <si>
    <t>Contratos de suministro</t>
  </si>
  <si>
    <t>S09</t>
  </si>
  <si>
    <t>Tasa social de descuento</t>
  </si>
  <si>
    <t>Sensibilidad M8; declarar la elección</t>
  </si>
  <si>
    <t>S10</t>
  </si>
  <si>
    <t>Parámetros terminales (residual/cierre/pasivo)</t>
  </si>
  <si>
    <t>Plan de cierre técnico</t>
  </si>
  <si>
    <t>Los sumandos ROW()/10^6 rompen empates: rankings sin duplicados por construcción. El 'gap' es la distancia G1-G3 en la perspectiva que el supuesto afecta. Elasticidades lineales declaradas (no Monte Carlo).</t>
  </si>
  <si>
    <t>(helper) G1</t>
  </si>
  <si>
    <t>(helper) G2</t>
  </si>
  <si>
    <t>(helper) G3</t>
  </si>
  <si>
    <t>PUNTO DE EQUILIBRIO DINÁMICO POR PERSPECTIVA — driver del challenger más cercano (alimenta narrativa y dashboard)</t>
  </si>
  <si>
    <t>Perspectiva</t>
  </si>
  <si>
    <t>Driver (variable)</t>
  </si>
  <si>
    <t>Valor base</t>
  </si>
  <si>
    <t>Punto de equilibrio</t>
  </si>
  <si>
    <t>Δ% vs base</t>
  </si>
  <si>
    <t>Challenger</t>
  </si>
  <si>
    <t>Nueva ganadora si se cruza</t>
  </si>
  <si>
    <t>Empresa</t>
  </si>
  <si>
    <t>CAPEX de la alternativa ganadora (sobrecosto que iguala a la segunda)</t>
  </si>
  <si>
    <t>Sociedad</t>
  </si>
  <si>
    <t>Precio social del carbono</t>
  </si>
  <si>
    <t>El driver de cada fila pertenece a su perspectiva (prueba QA 12): Empresa→CAPEX/OPEX privados; Sociedad→precio social/valor sanitario; Internalizado→precio regulado/canales. Un Δ% negativo o error = ranking robusto en esa dirección.</t>
  </si>
  <si>
    <t>M11 — FISCAL: tasa τ × tratamiento de canales (VPN internalizado G3; solo efecto fiscal en canales)</t>
  </si>
  <si>
    <t>M12 — ACUMULABILIDAD: % cumplimiento × % elegible a créditos (VPN internalizado G3, regla 3)</t>
  </si>
  <si>
    <t>τ \ tratamiento</t>
  </si>
  <si>
    <t>No gravado (f=1)</t>
  </si>
  <si>
    <t>Gravado/deducible (f=1−τ)</t>
  </si>
  <si>
    <t>%cumpl \ %eleg</t>
  </si>
  <si>
    <t>M13 — SALARIO SOMBRA × meses de desempleo (Δ VPN social neto G3 − G1)</t>
  </si>
  <si>
    <t>sombra \ meses</t>
  </si>
  <si>
    <t>7. DASHBOARD  |  Modelo ESG Challenge</t>
  </si>
  <si>
    <t>GUÍA DE CONSTRUCCIÓN — CIERRE · manual cap. 15 — Vincule aquí su síntesis: pregunta, respuesta condicionada (perspectiva, ganadora factible, sin restricciones, restricción dominante, supuestos críticos), métricas por filtro, incrementales, riesgos y 3-5 gráficos construidos por usted (composición del VPN, EBITDA vs restricción, comparación de perspectivas, LCOA vs precio sombra, MACC).</t>
  </si>
  <si>
    <t>BLOQUE 1 — LA PREGUNTA</t>
  </si>
  <si>
    <t>¿Qué filtro debería seleccionar ChallengeESG Corp?</t>
  </si>
  <si>
    <t>BLOQUE 2 — RESPUESTA CONDICIONADA</t>
  </si>
  <si>
    <t>Perspectiva (editar en hoja 8)</t>
  </si>
  <si>
    <t>Supuesto crítico para el NIVEL de valor</t>
  </si>
  <si>
    <t>Supuesto crítico para el RANKING</t>
  </si>
  <si>
    <t>BLOQUE 3 — MÉTRICAS POR FILTRO</t>
  </si>
  <si>
    <t>VPN operativo</t>
  </si>
  <si>
    <t>VPN privado</t>
  </si>
  <si>
    <t>VPN socioambiental neto parcial</t>
  </si>
  <si>
    <t>VPN internalizado (canales al WACC)</t>
  </si>
  <si>
    <t>EBITDA año 1</t>
  </si>
  <si>
    <t>Factibilidad</t>
  </si>
  <si>
    <t>LCOA corporativo (US$/t)</t>
  </si>
  <si>
    <t>LCOA social (US$/t)</t>
  </si>
  <si>
    <t>BLOQUE 4 — INCREMENTAL</t>
  </si>
  <si>
    <t>Δ</t>
  </si>
  <si>
    <t>G2−G1</t>
  </si>
  <si>
    <t>G3−G1</t>
  </si>
  <si>
    <t>G3−G2</t>
  </si>
  <si>
    <t>Δ VPN privado</t>
  </si>
  <si>
    <t>Δ VPN socioambiental neto</t>
  </si>
  <si>
    <t>Δ VPN internalizado</t>
  </si>
  <si>
    <t>BLOQUE 5 — RIESGOS Y CALIDAD DE DATOS</t>
  </si>
  <si>
    <t>Top-5 para el NIVEL de valor</t>
  </si>
  <si>
    <t>Top-5 para el RANKING</t>
  </si>
  <si>
    <t>% del VPN internalizado G3 dependiente de supuestos de confianza Baja (regulatorio + canales)</t>
  </si>
  <si>
    <t>Punto de equilibrio de la perspectiva actual (driver · base → BE · challenger)</t>
  </si>
  <si>
    <t>BLOQUE 6 — VISUALIZACIONES</t>
  </si>
  <si>
    <t>Composición del VPN internalizado</t>
  </si>
  <si>
    <t>Componente</t>
  </si>
  <si>
    <t>VP regulatorio</t>
  </si>
  <si>
    <t>VP premium</t>
  </si>
  <si>
    <t>VP canales internalización</t>
  </si>
  <si>
    <t>VPN por perspectiva</t>
  </si>
  <si>
    <t>Social neto</t>
  </si>
  <si>
    <t>EBITDA por año</t>
  </si>
  <si>
    <t>Serie</t>
  </si>
  <si>
    <t>LCOA</t>
  </si>
  <si>
    <t>Filtro</t>
  </si>
  <si>
    <t>Corporativo</t>
  </si>
  <si>
    <t>MACC</t>
  </si>
  <si>
    <t>8A. ACTIVIDADES PROGRESIVAS</t>
  </si>
  <si>
    <t>N°</t>
  </si>
  <si>
    <t>Actividad</t>
  </si>
  <si>
    <t>Instrucción</t>
  </si>
  <si>
    <t>Actividad 1</t>
  </si>
  <si>
    <t>Lectura del caso</t>
  </si>
  <si>
    <t>Sin tocar el archivo, seleccione una alternativa y justifíquela cualitativamente (½ página). Responda las 3 preguntas iniciales de la hoja 1.</t>
  </si>
  <si>
    <t>Actividad 2</t>
  </si>
  <si>
    <t>VPN tradicional</t>
  </si>
  <si>
    <t>Con la hoja 2, explique por qué G1 gana en VPN privado. Descomponga: ¿cuánto aporta la operación, cuánto la sanción evitada, cuánto el premium?</t>
  </si>
  <si>
    <t>Actividad 3</t>
  </si>
  <si>
    <t>Externalidades</t>
  </si>
  <si>
    <t>Con la hoja 2, explique por qué G3 genera mayor valor social. ¿Qué fracción viene del clima y cuál de la salud? ¿Qué tan confiables son esos dos números?</t>
  </si>
  <si>
    <t>Actividad 4</t>
  </si>
  <si>
    <t>Internalización</t>
  </si>
  <si>
    <t>Con la hoja 2, identifique los tres canales que convierten externalidades en flujos corporativos y explique por qué se descuentan al WACC y no a la tasa social.</t>
  </si>
  <si>
    <t>Actividad 5</t>
  </si>
  <si>
    <t>Incremental</t>
  </si>
  <si>
    <t>Con la hoja 2, decida si vale la pena pasar de G1 a G2 o a G3. Use ΔVPN, MIRR y LCOA incremental. ¿Cambia su respuesta según la perspectiva?</t>
  </si>
  <si>
    <t>Actividad 6</t>
  </si>
  <si>
    <t>Restricciones</t>
  </si>
  <si>
    <t>Con la hoja 2 (sección B), determine qué necesita G3 para ser factible: ¿cuánta reducción de OPEX, cuánto revenue adicional (con el margen de contribución), qué subsidio?</t>
  </si>
  <si>
    <t>Actividad 7</t>
  </si>
  <si>
    <t>Sensibilidad</t>
  </si>
  <si>
    <t>Con la hoja 2, encuentre el precio regulado del carbono o el precio social necesarios para que la decisión cambie (puntos de equilibrio 1 y 2). ¿Qué tan lejos están del caso base?</t>
  </si>
  <si>
    <t>Actividad 8</t>
  </si>
  <si>
    <t>Auditoría</t>
  </si>
  <si>
    <t>Identifique los tres supuestos más débiles del modelo (materialidad, hoja 2) y explique cómo afecta cada uno al nivel de valor y al ranking.</t>
  </si>
  <si>
    <t>Actividad 9</t>
  </si>
  <si>
    <t>Comité de inversión</t>
  </si>
  <si>
    <t>Prepare una recomendación ejecutiva de UNA página: decisión, perspectiva, tres razones, dos riesgos, una condición de reversa.</t>
  </si>
  <si>
    <t>Actividad 10</t>
  </si>
  <si>
    <t>Debate de roles</t>
  </si>
  <si>
    <t>Defienda una posición: CFO / Gerente de sostenibilidad / Regulador / Comunidad / Inversionista / Trabajadores. 5 min por rol + réplicas.</t>
  </si>
  <si>
    <t>8B. EVALUACIÓN — rúbrica de 100 puntos</t>
  </si>
  <si>
    <t>Criterio</t>
  </si>
  <si>
    <t>Peso</t>
  </si>
  <si>
    <t>Excelente (100%)</t>
  </si>
  <si>
    <t>Competente (75%)</t>
  </si>
  <si>
    <t>En desarrollo (50%)</t>
  </si>
  <si>
    <t>Insuficiente (25%)</t>
  </si>
  <si>
    <t>Comprensión del caso</t>
  </si>
  <si>
    <t>Identifica conflicto, actores, restricciones e incertidumbres sin ayuda</t>
  </si>
  <si>
    <t>Identifica el conflicto y las restricciones principales</t>
  </si>
  <si>
    <t>Describe el caso sin estructurar el conflicto</t>
  </si>
  <si>
    <t>Confunde alternativas o restricciones</t>
  </si>
  <si>
    <t>Construcción financiera</t>
  </si>
  <si>
    <t>Explica cada métrica y su flujo; distingue operación vs proyecto</t>
  </si>
  <si>
    <t>Calcula e interpreta correctamente las métricas</t>
  </si>
  <si>
    <t>Calcula pero interpreta mal (p. ej., TIR operativa como rentabilidad del filtro)</t>
  </si>
  <si>
    <t>Errores de cálculo o lectura</t>
  </si>
  <si>
    <t>Interpretación ESG</t>
  </si>
  <si>
    <t>Distingue bienestar de caja; critica la calidad de los datos ambientales</t>
  </si>
  <si>
    <t>Distingue las tres perspectivas</t>
  </si>
  <si>
    <t>Mezcla perspectivas ocasionalmente</t>
  </si>
  <si>
    <t>Suma externalidades al VPN privado sin mecanismo</t>
  </si>
  <si>
    <t>Análisis incremental</t>
  </si>
  <si>
    <t>Decide con deltas; explica la cancelación de flujos comunes</t>
  </si>
  <si>
    <t>Usa deltas correctamente</t>
  </si>
  <si>
    <t>Compara absolutos con conciencia parcial</t>
  </si>
  <si>
    <t>Ignora el análisis incremental</t>
  </si>
  <si>
    <t>Uso de sensibilidades</t>
  </si>
  <si>
    <t>Encuentra los puntos de equilibrio y los interpreta como distancia al caso base</t>
  </si>
  <si>
    <t>Usa matrices para probar robustez</t>
  </si>
  <si>
    <t>Lee matrices sin conectar con la decisión</t>
  </si>
  <si>
    <t>No usa sensibilidad</t>
  </si>
  <si>
    <t>Identificación de riesgos</t>
  </si>
  <si>
    <t>Distingue riesgo de nivel vs riesgo de ranking; prioriza validaciones</t>
  </si>
  <si>
    <t>Identifica los supuestos débiles principales</t>
  </si>
  <si>
    <t>Lista riesgos sin priorizar</t>
  </si>
  <si>
    <t>No identifica supuestos débiles</t>
  </si>
  <si>
    <t>Calidad de recomendación</t>
  </si>
  <si>
    <t>Recomendación condicionada, con perspectiva explícita y condición de reversa</t>
  </si>
  <si>
    <t>Recomendación clara y justificada</t>
  </si>
  <si>
    <t>Recomendación sin condiciones ni riesgos</t>
  </si>
  <si>
    <t>Recomendación por una sola métrica</t>
  </si>
  <si>
    <t>Claridad y argumentación</t>
  </si>
  <si>
    <t>Defiende oralmente ante objeciones; explica incertidumbre con honestidad</t>
  </si>
  <si>
    <t>Argumenta con orden y evidencia</t>
  </si>
  <si>
    <t>Argumenta con vacíos</t>
  </si>
  <si>
    <t>No puede reconstruir su razonamiento</t>
  </si>
  <si>
    <t>TOTAL</t>
  </si>
  <si>
    <t>La evaluación premia la calidad del razonamiento, la consistencia de los supuestos y la capacidad de explicar la incertidumbre. Un estudiante que recomiende G3 con argumentos sólidos sobre internalización y factibilidad condicionada puede obtener más puntos que uno que 'acierte' G1 sin poder defenderlo.</t>
  </si>
  <si>
    <t>8C. FUENTES, CONFIANZA Y TRAZABILIDAD</t>
  </si>
  <si>
    <t>Input</t>
  </si>
  <si>
    <t>Valor (vivo)</t>
  </si>
  <si>
    <t>URL / referencia</t>
  </si>
  <si>
    <t>Página</t>
  </si>
  <si>
    <t>Fecha</t>
  </si>
  <si>
    <t>Responsable</t>
  </si>
  <si>
    <t>Confianza</t>
  </si>
  <si>
    <t>Fecha revisión</t>
  </si>
  <si>
    <t>Estado validación</t>
  </si>
  <si>
    <t>WACC base USD</t>
  </si>
  <si>
    <t>Damodaran, Cost of Capital by Sector</t>
  </si>
  <si>
    <t>pages.stern.nyu.edu/~adamodar</t>
  </si>
  <si>
    <t>s. industriales EM</t>
  </si>
  <si>
    <t>2026-07</t>
  </si>
  <si>
    <t>Equipo docente</t>
  </si>
  <si>
    <t>Validado</t>
  </si>
  <si>
    <t>Inflación USD</t>
  </si>
  <si>
    <t>FRED, CPI-U</t>
  </si>
  <si>
    <t>fred.stlouisfed.org/series/CPIAUCSL</t>
  </si>
  <si>
    <t>Banco de la República, meta de inflación (PROYECCIÓN de política, no dato observado)</t>
  </si>
  <si>
    <t>banrep.gov.co</t>
  </si>
  <si>
    <t>Proyectado</t>
  </si>
  <si>
    <t>Estatuto Tributario, art. 240</t>
  </si>
  <si>
    <t>estatuto.co</t>
  </si>
  <si>
    <t>art. 240</t>
  </si>
  <si>
    <t>Tasa social real</t>
  </si>
  <si>
    <t>Stern Review (2007); Drupp et al. (2018), AEJ:Policy 10(4)</t>
  </si>
  <si>
    <t>doi:10.1257/pol.20160240</t>
  </si>
  <si>
    <t>pp. 109-134</t>
  </si>
  <si>
    <t>Stern &amp; Stiglitz, High-Level Commission on Carbon Prices</t>
  </si>
  <si>
    <t>carbonpricingleadership.org</t>
  </si>
  <si>
    <t>p. 3 (rango 50-100)</t>
  </si>
  <si>
    <t>Precio regulado esperado</t>
  </si>
  <si>
    <t>Ley 2277/2022 + trayectoria esperada (PROYECCIÓN regulatoria)</t>
  </si>
  <si>
    <t>funcionpublica.gov.co</t>
  </si>
  <si>
    <t>art. 47</t>
  </si>
  <si>
    <t>Pendiente</t>
  </si>
  <si>
    <t>Precio de créditos</t>
  </si>
  <si>
    <t>Mercado voluntario LatAm (promedios)</t>
  </si>
  <si>
    <t>ecosystemmarketplace.com</t>
  </si>
  <si>
    <t>Greenium ΔKd</t>
  </si>
  <si>
    <t>pb</t>
  </si>
  <si>
    <t>BIS Quarterly Review (2023), green bond premia</t>
  </si>
  <si>
    <t>bis.org</t>
  </si>
  <si>
    <t>Valor sanitario</t>
  </si>
  <si>
    <t>No verificable con la información disponible — requiere validación técnica</t>
  </si>
  <si>
    <t>NO VERIFICABLE</t>
  </si>
  <si>
    <t>tCO₂e evitadas</t>
  </si>
  <si>
    <t>t/año</t>
  </si>
  <si>
    <t>Estudio de ingeniería SIMULADO (GHG Protocol, alcance 1). No verificable — requiere validación técnica</t>
  </si>
  <si>
    <t>2026</t>
  </si>
  <si>
    <t>Población expuesta</t>
  </si>
  <si>
    <t>Multa y probabilidad</t>
  </si>
  <si>
    <t>Caso ESG Challenge (simulador Finsimco)</t>
  </si>
  <si>
    <t>CAPEX G1/G2/G3</t>
  </si>
  <si>
    <t>Caso ESG Challenge — cotizaciones del caso</t>
  </si>
  <si>
    <t>Salario, horas, COGS, SG&amp;A</t>
  </si>
  <si>
    <t>Indemnización/capacitación/salario sombra</t>
  </si>
  <si>
    <t>Boardman et al., Cost-Benefit Analysis (5e), cap. salario sombra</t>
  </si>
  <si>
    <t>cap. 4</t>
  </si>
  <si>
    <t>Clasificación: Observado (dato del caso o serie oficial histórica) · Proyectado (meta o trayectoria esperada) · Estimado (fuente académica/mercado) · Pedagógico (calibrado para docencia) · Simulado (inventado con metodología declarada) · No verificable. Ninguna cifra específica usa una fuente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</si>
</sst>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64" formatCode="0&quot; min&quot;"/>
    <numFmt numFmtId="165" formatCode="0.0%"/>
    <numFmt numFmtId="166" formatCode="#,##0;\(#,##0\);\-"/>
    <numFmt numFmtId="167" formatCode="0.0"/>
    <numFmt numFmtId="168" formatCode="0.000%"/>
    <numFmt numFmtId="169" formatCode="\$#,##0;[Red]&quot;($&quot;#,##0\);\-"/>
    <numFmt numFmtId="170" formatCode="0.0000"/>
    <numFmt numFmtId="171" formatCode="0.00\x"/>
    <numFmt numFmtId="172" formatCode="0.00&quot; años&quot;"/>
    <numFmt numFmtId="173" formatCode="#,##0.0"/>
    <numFmt numFmtId="174" formatCode="#,##0,,\M"/>
    <numFmt numFmtId="175" formatCode="\+0%;\-0%"/>
    <numFmt numFmtId="176" formatCode="0&quot; m&quot;"/>
    <numFmt numFmtId="177" formatCode="#,##0.0,,\M;\(#,##0.0,,&quot;M)&quot;"/>
    <numFmt numFmtId="178" formatCode="#,##0.00###"/>
  </numFmts>
  <fonts count="48" x14ac:knownFonts="1">
    <font>
      <sz val="10"/>
      <name val="Arial"/>
      <family val="2"/>
      <charset val="1"/>
    </font>
    <font>
      <sz val="10"/>
      <name val="Arial"/>
      <family val="2"/>
    </font>
    <font>
      <u/>
      <sz val="8"/>
      <color rgb="FF2E75B6"/>
      <name val="Arial"/>
      <family val="2"/>
    </font>
    <font>
      <b/>
      <sz val="16"/>
      <color rgb="FFFFFFFF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BFBFBF"/>
      <name val="Arial"/>
      <family val="2"/>
    </font>
    <font>
      <b/>
      <sz val="11"/>
      <color rgb="FF1F3864"/>
      <name val="Arial"/>
      <family val="2"/>
    </font>
    <font>
      <i/>
      <sz val="9"/>
      <color rgb="FF595959"/>
      <name val="Arial"/>
      <family val="2"/>
    </font>
    <font>
      <b/>
      <sz val="11"/>
      <color rgb="FF0000FF"/>
      <name val="Arial"/>
      <family val="2"/>
    </font>
    <font>
      <b/>
      <sz val="11"/>
      <color rgb="FFFFFFFF"/>
      <name val="Arial"/>
      <family val="2"/>
    </font>
    <font>
      <b/>
      <sz val="9"/>
      <color rgb="FF9C0006"/>
      <name val="Arial"/>
      <family val="2"/>
    </font>
    <font>
      <b/>
      <sz val="10"/>
      <color rgb="FF274E13"/>
      <name val="Arial"/>
      <family val="2"/>
    </font>
    <font>
      <b/>
      <sz val="9"/>
      <color rgb="FF9C5700"/>
      <name val="Arial"/>
      <family val="2"/>
    </font>
    <font>
      <sz val="8"/>
      <color rgb="FFE7E6E6"/>
      <name val="Arial"/>
      <family val="2"/>
    </font>
    <font>
      <b/>
      <sz val="10"/>
      <color rgb="FFFFFFFF"/>
      <name val="Arial"/>
      <family val="2"/>
    </font>
    <font>
      <sz val="10"/>
      <color rgb="FF2E75B6"/>
      <name val="Arial"/>
      <family val="2"/>
    </font>
    <font>
      <i/>
      <sz val="9"/>
      <color rgb="FF1F3864"/>
      <name val="Arial"/>
      <family val="2"/>
    </font>
    <font>
      <i/>
      <sz val="8"/>
      <color rgb="FF1F4E78"/>
      <name val="Arial"/>
      <family val="2"/>
    </font>
    <font>
      <i/>
      <sz val="8"/>
      <color rgb="FF595959"/>
      <name val="Arial"/>
      <family val="2"/>
    </font>
    <font>
      <b/>
      <sz val="13"/>
      <color rgb="FFFFFFFF"/>
      <name val="Arial"/>
      <family val="2"/>
    </font>
    <font>
      <b/>
      <sz val="9"/>
      <color rgb="FFFFFFFF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</font>
    <font>
      <sz val="8"/>
      <color rgb="FF2E75B6"/>
      <name val="Arial"/>
      <family val="2"/>
    </font>
    <font>
      <b/>
      <sz val="8"/>
      <color rgb="FFFFFFFF"/>
      <name val="Arial"/>
      <family val="2"/>
    </font>
    <font>
      <sz val="9"/>
      <color rgb="FF0000FF"/>
      <name val="Arial"/>
      <family val="2"/>
    </font>
    <font>
      <sz val="8"/>
      <color rgb="FF595959"/>
      <name val="Arial"/>
      <family val="2"/>
    </font>
    <font>
      <sz val="8"/>
      <name val="Arial"/>
      <family val="2"/>
    </font>
    <font>
      <i/>
      <sz val="8"/>
      <color rgb="FF9C0006"/>
      <name val="Arial"/>
      <family val="2"/>
    </font>
    <font>
      <b/>
      <sz val="9"/>
      <color rgb="FF000000"/>
      <name val="Arial"/>
      <family val="2"/>
    </font>
    <font>
      <i/>
      <sz val="9"/>
      <color rgb="FF9C5700"/>
      <name val="Arial"/>
      <family val="2"/>
    </font>
    <font>
      <b/>
      <sz val="12"/>
      <color rgb="FFFFFFFF"/>
      <name val="Arial"/>
      <family val="2"/>
    </font>
    <font>
      <i/>
      <sz val="8"/>
      <color rgb="FF9C5700"/>
      <name val="Arial"/>
      <family val="2"/>
    </font>
    <font>
      <b/>
      <sz val="11"/>
      <color rgb="FFFFFFFF"/>
      <name val="Calibri"/>
      <family val="2"/>
    </font>
    <font>
      <i/>
      <sz val="8"/>
      <color rgb="FF808080"/>
      <name val="Arial"/>
      <family val="2"/>
    </font>
    <font>
      <sz val="8"/>
      <color rgb="FF808080"/>
      <name val="Arial"/>
      <family val="2"/>
    </font>
    <font>
      <b/>
      <sz val="8"/>
      <name val="Arial"/>
      <family val="2"/>
    </font>
    <font>
      <sz val="7"/>
      <color rgb="FF595959"/>
      <name val="Arial"/>
      <family val="2"/>
    </font>
    <font>
      <b/>
      <sz val="10"/>
      <color rgb="FF0000FF"/>
      <name val="Arial"/>
      <family val="2"/>
    </font>
    <font>
      <sz val="8"/>
      <color rgb="FFC0C0C0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b/>
      <sz val="7"/>
      <color rgb="FFFFFFFF"/>
      <name val="Arial"/>
      <family val="2"/>
    </font>
    <font>
      <b/>
      <sz val="14"/>
      <color rgb="FFFFFFFF"/>
      <name val="Arial"/>
      <family val="2"/>
    </font>
    <font>
      <b/>
      <sz val="13"/>
      <color rgb="FF1F3864"/>
      <name val="Arial"/>
      <family val="2"/>
    </font>
    <font>
      <sz val="9"/>
      <color rgb="FF008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1F3864"/>
        <bgColor rgb="FF1F4E78"/>
      </patternFill>
    </fill>
    <fill>
      <patternFill patternType="solid">
        <fgColor rgb="FFF2F2F2"/>
        <bgColor rgb="FFEAF2F8"/>
      </patternFill>
    </fill>
    <fill>
      <patternFill patternType="solid">
        <fgColor rgb="FFDDEBF7"/>
        <bgColor rgb="FFE7E6E6"/>
      </patternFill>
    </fill>
    <fill>
      <patternFill patternType="solid">
        <fgColor rgb="FF2E75B6"/>
        <bgColor rgb="FF4472C4"/>
      </patternFill>
    </fill>
    <fill>
      <patternFill patternType="solid">
        <fgColor rgb="FFFFF2CC"/>
        <bgColor rgb="FFFFF7DC"/>
      </patternFill>
    </fill>
    <fill>
      <patternFill patternType="solid">
        <fgColor rgb="FFD9EAD3"/>
        <bgColor rgb="FFE2EFDA"/>
      </patternFill>
    </fill>
    <fill>
      <patternFill patternType="solid">
        <fgColor rgb="FFEAF2F8"/>
        <bgColor rgb="FFF2F2F2"/>
      </patternFill>
    </fill>
    <fill>
      <patternFill patternType="solid">
        <fgColor rgb="FFE2EFDA"/>
        <bgColor rgb="FFD9EAD3"/>
      </patternFill>
    </fill>
    <fill>
      <patternFill patternType="solid">
        <fgColor rgb="FFFFC7CE"/>
        <bgColor rgb="FFE7E6E6"/>
      </patternFill>
    </fill>
    <fill>
      <patternFill patternType="solid">
        <fgColor rgb="FFC55A11"/>
        <bgColor rgb="FF9C5700"/>
      </patternFill>
    </fill>
    <fill>
      <patternFill patternType="solid">
        <fgColor rgb="FF4472C4"/>
        <bgColor rgb="FF2E75B6"/>
      </patternFill>
    </fill>
    <fill>
      <patternFill patternType="solid">
        <fgColor rgb="FFFFF7DC"/>
        <bgColor rgb="FFFFF2CC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32" fillId="0" borderId="0" xfId="0" applyFont="1" applyAlignment="1">
      <alignment horizontal="left" vertical="center" wrapText="1"/>
    </xf>
    <xf numFmtId="0" fontId="15" fillId="11" borderId="0" xfId="0" applyFont="1" applyFill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20" fillId="2" borderId="0" xfId="0" applyFont="1" applyFill="1" applyAlignment="1">
      <alignment horizontal="left" vertical="center"/>
    </xf>
    <xf numFmtId="0" fontId="18" fillId="8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6" fillId="0" borderId="0" xfId="0" applyFont="1"/>
    <xf numFmtId="0" fontId="15" fillId="5" borderId="0" xfId="0" applyFont="1" applyFill="1" applyAlignment="1">
      <alignment horizontal="left" vertical="center"/>
    </xf>
    <xf numFmtId="0" fontId="13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2" fillId="7" borderId="0" xfId="0" applyFont="1" applyFill="1" applyAlignment="1">
      <alignment vertical="center" wrapText="1"/>
    </xf>
    <xf numFmtId="0" fontId="14" fillId="0" borderId="0" xfId="0" applyFont="1"/>
    <xf numFmtId="0" fontId="1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6" borderId="0" xfId="0" applyFont="1" applyFill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164" fontId="22" fillId="0" borderId="1" xfId="0" applyNumberFormat="1" applyFont="1" applyBorder="1" applyAlignment="1">
      <alignment horizontal="center" vertical="center"/>
    </xf>
    <xf numFmtId="0" fontId="23" fillId="0" borderId="0" xfId="0" applyFont="1" applyAlignment="1">
      <alignment horizontal="right" vertical="center"/>
    </xf>
    <xf numFmtId="164" fontId="23" fillId="3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left" vertical="center"/>
    </xf>
    <xf numFmtId="0" fontId="24" fillId="0" borderId="0" xfId="0" applyFont="1"/>
    <xf numFmtId="0" fontId="25" fillId="0" borderId="0" xfId="0" applyFont="1" applyAlignment="1">
      <alignment horizontal="center"/>
    </xf>
    <xf numFmtId="0" fontId="26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 wrapText="1"/>
    </xf>
    <xf numFmtId="1" fontId="27" fillId="0" borderId="1" xfId="0" applyNumberFormat="1" applyFont="1" applyBorder="1" applyAlignment="1">
      <alignment horizontal="center" vertical="center"/>
    </xf>
    <xf numFmtId="0" fontId="29" fillId="6" borderId="1" xfId="0" applyFont="1" applyFill="1" applyBorder="1" applyAlignment="1">
      <alignment horizontal="center" vertical="center"/>
    </xf>
    <xf numFmtId="165" fontId="27" fillId="0" borderId="1" xfId="0" applyNumberFormat="1" applyFont="1" applyBorder="1" applyAlignment="1">
      <alignment horizontal="center" vertical="center"/>
    </xf>
    <xf numFmtId="0" fontId="29" fillId="9" borderId="1" xfId="0" applyFont="1" applyFill="1" applyBorder="1" applyAlignment="1">
      <alignment horizontal="center" vertical="center"/>
    </xf>
    <xf numFmtId="3" fontId="27" fillId="0" borderId="1" xfId="0" applyNumberFormat="1" applyFont="1" applyBorder="1" applyAlignment="1">
      <alignment horizontal="center" vertical="center"/>
    </xf>
    <xf numFmtId="10" fontId="31" fillId="0" borderId="1" xfId="0" applyNumberFormat="1" applyFont="1" applyBorder="1" applyAlignment="1">
      <alignment horizontal="center" vertical="center"/>
    </xf>
    <xf numFmtId="3" fontId="31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66" fontId="27" fillId="0" borderId="1" xfId="0" applyNumberFormat="1" applyFont="1" applyBorder="1" applyAlignment="1">
      <alignment horizontal="center" vertical="center"/>
    </xf>
    <xf numFmtId="2" fontId="27" fillId="0" borderId="1" xfId="0" applyNumberFormat="1" applyFont="1" applyBorder="1" applyAlignment="1">
      <alignment horizontal="center" vertical="center"/>
    </xf>
    <xf numFmtId="166" fontId="31" fillId="0" borderId="1" xfId="0" applyNumberFormat="1" applyFont="1" applyBorder="1" applyAlignment="1">
      <alignment horizontal="center" vertical="center"/>
    </xf>
    <xf numFmtId="0" fontId="26" fillId="2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center" vertical="center"/>
    </xf>
    <xf numFmtId="167" fontId="27" fillId="0" borderId="1" xfId="0" applyNumberFormat="1" applyFont="1" applyBorder="1" applyAlignment="1">
      <alignment horizontal="center" vertical="center"/>
    </xf>
    <xf numFmtId="0" fontId="29" fillId="10" borderId="1" xfId="0" applyFont="1" applyFill="1" applyBorder="1" applyAlignment="1">
      <alignment horizontal="center" vertical="center"/>
    </xf>
    <xf numFmtId="168" fontId="27" fillId="0" borderId="1" xfId="0" applyNumberFormat="1" applyFont="1" applyBorder="1" applyAlignment="1">
      <alignment horizontal="center" vertical="center"/>
    </xf>
    <xf numFmtId="168" fontId="31" fillId="0" borderId="1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33" fillId="2" borderId="0" xfId="0" applyFont="1" applyFill="1" applyAlignment="1">
      <alignment horizontal="left" vertical="center"/>
    </xf>
    <xf numFmtId="0" fontId="35" fillId="12" borderId="0" xfId="0" applyFont="1" applyFill="1" applyAlignment="1">
      <alignment horizontal="center"/>
    </xf>
    <xf numFmtId="169" fontId="24" fillId="0" borderId="0" xfId="0" applyNumberFormat="1" applyFont="1"/>
    <xf numFmtId="169" fontId="24" fillId="13" borderId="0" xfId="0" applyNumberFormat="1" applyFont="1" applyFill="1" applyProtection="1">
      <protection locked="0"/>
    </xf>
    <xf numFmtId="0" fontId="36" fillId="0" borderId="0" xfId="0" applyFont="1" applyAlignment="1">
      <alignment horizontal="left" vertical="center"/>
    </xf>
    <xf numFmtId="0" fontId="37" fillId="0" borderId="0" xfId="0" applyFont="1" applyAlignment="1">
      <alignment horizontal="center" vertical="center"/>
    </xf>
    <xf numFmtId="0" fontId="23" fillId="3" borderId="1" xfId="0" applyFont="1" applyFill="1" applyBorder="1" applyAlignment="1">
      <alignment horizontal="left" vertical="center"/>
    </xf>
    <xf numFmtId="0" fontId="23" fillId="3" borderId="1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horizontal="center" vertical="center"/>
    </xf>
    <xf numFmtId="166" fontId="22" fillId="0" borderId="1" xfId="0" applyNumberFormat="1" applyFont="1" applyBorder="1" applyAlignment="1">
      <alignment horizontal="right"/>
    </xf>
    <xf numFmtId="166" fontId="22" fillId="13" borderId="1" xfId="0" applyNumberFormat="1" applyFont="1" applyFill="1" applyBorder="1" applyAlignment="1" applyProtection="1">
      <alignment horizontal="right"/>
      <protection locked="0"/>
    </xf>
    <xf numFmtId="0" fontId="23" fillId="3" borderId="1" xfId="0" applyFont="1" applyFill="1" applyBorder="1" applyAlignment="1">
      <alignment horizontal="left" vertical="center" wrapText="1"/>
    </xf>
    <xf numFmtId="166" fontId="23" fillId="13" borderId="1" xfId="0" applyNumberFormat="1" applyFont="1" applyFill="1" applyBorder="1" applyAlignment="1" applyProtection="1">
      <alignment horizontal="right"/>
      <protection locked="0"/>
    </xf>
    <xf numFmtId="166" fontId="19" fillId="13" borderId="0" xfId="0" applyNumberFormat="1" applyFont="1" applyFill="1" applyProtection="1">
      <protection locked="0"/>
    </xf>
    <xf numFmtId="170" fontId="22" fillId="0" borderId="1" xfId="0" applyNumberFormat="1" applyFont="1" applyBorder="1" applyAlignment="1">
      <alignment horizontal="right"/>
    </xf>
    <xf numFmtId="170" fontId="22" fillId="13" borderId="1" xfId="0" applyNumberFormat="1" applyFont="1" applyFill="1" applyBorder="1" applyAlignment="1" applyProtection="1">
      <alignment horizontal="right"/>
      <protection locked="0"/>
    </xf>
    <xf numFmtId="0" fontId="23" fillId="4" borderId="1" xfId="0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left" vertical="center" wrapText="1"/>
    </xf>
    <xf numFmtId="166" fontId="4" fillId="13" borderId="1" xfId="0" applyNumberFormat="1" applyFont="1" applyFill="1" applyBorder="1" applyAlignment="1" applyProtection="1">
      <alignment horizontal="right"/>
      <protection locked="0"/>
    </xf>
    <xf numFmtId="166" fontId="5" fillId="13" borderId="1" xfId="0" applyNumberFormat="1" applyFont="1" applyFill="1" applyBorder="1" applyAlignment="1" applyProtection="1">
      <alignment horizontal="right"/>
      <protection locked="0"/>
    </xf>
    <xf numFmtId="10" fontId="5" fillId="13" borderId="1" xfId="0" applyNumberFormat="1" applyFont="1" applyFill="1" applyBorder="1" applyAlignment="1" applyProtection="1">
      <alignment horizontal="right"/>
      <protection locked="0"/>
    </xf>
    <xf numFmtId="171" fontId="5" fillId="13" borderId="1" xfId="0" applyNumberFormat="1" applyFont="1" applyFill="1" applyBorder="1" applyAlignment="1" applyProtection="1">
      <alignment horizontal="right"/>
      <protection locked="0"/>
    </xf>
    <xf numFmtId="172" fontId="5" fillId="13" borderId="1" xfId="0" applyNumberFormat="1" applyFont="1" applyFill="1" applyBorder="1" applyAlignment="1" applyProtection="1">
      <alignment horizontal="right"/>
      <protection locked="0"/>
    </xf>
    <xf numFmtId="4" fontId="5" fillId="13" borderId="1" xfId="0" applyNumberFormat="1" applyFont="1" applyFill="1" applyBorder="1" applyAlignment="1" applyProtection="1">
      <alignment horizontal="right"/>
      <protection locked="0"/>
    </xf>
    <xf numFmtId="0" fontId="23" fillId="13" borderId="1" xfId="0" applyFont="1" applyFill="1" applyBorder="1" applyAlignment="1" applyProtection="1">
      <alignment horizontal="center"/>
      <protection locked="0"/>
    </xf>
    <xf numFmtId="0" fontId="29" fillId="0" borderId="1" xfId="0" applyFont="1" applyBorder="1" applyAlignment="1">
      <alignment horizontal="left" vertical="center" wrapText="1"/>
    </xf>
    <xf numFmtId="0" fontId="29" fillId="13" borderId="1" xfId="0" applyFont="1" applyFill="1" applyBorder="1" applyAlignment="1" applyProtection="1">
      <alignment horizontal="center" vertical="center"/>
      <protection locked="0"/>
    </xf>
    <xf numFmtId="165" fontId="29" fillId="13" borderId="1" xfId="0" applyNumberFormat="1" applyFont="1" applyFill="1" applyBorder="1" applyAlignment="1" applyProtection="1">
      <alignment horizontal="center" vertical="center"/>
      <protection locked="0"/>
    </xf>
    <xf numFmtId="2" fontId="23" fillId="13" borderId="1" xfId="0" applyNumberFormat="1" applyFont="1" applyFill="1" applyBorder="1" applyAlignment="1" applyProtection="1">
      <alignment horizontal="center" vertical="center"/>
      <protection locked="0"/>
    </xf>
    <xf numFmtId="166" fontId="29" fillId="13" borderId="1" xfId="0" applyNumberFormat="1" applyFont="1" applyFill="1" applyBorder="1" applyAlignment="1" applyProtection="1">
      <alignment horizontal="right" vertical="center"/>
      <protection locked="0"/>
    </xf>
    <xf numFmtId="166" fontId="38" fillId="13" borderId="1" xfId="0" applyNumberFormat="1" applyFont="1" applyFill="1" applyBorder="1" applyAlignment="1" applyProtection="1">
      <alignment horizontal="right" vertical="center"/>
      <protection locked="0"/>
    </xf>
    <xf numFmtId="0" fontId="23" fillId="0" borderId="1" xfId="0" applyFont="1" applyBorder="1" applyAlignment="1">
      <alignment horizontal="left" vertical="center" wrapText="1"/>
    </xf>
    <xf numFmtId="3" fontId="22" fillId="13" borderId="1" xfId="0" applyNumberFormat="1" applyFont="1" applyFill="1" applyBorder="1" applyAlignment="1" applyProtection="1">
      <alignment horizontal="right" vertical="center"/>
      <protection locked="0"/>
    </xf>
    <xf numFmtId="0" fontId="38" fillId="13" borderId="1" xfId="0" applyFont="1" applyFill="1" applyBorder="1" applyAlignment="1" applyProtection="1">
      <alignment horizontal="center" vertical="center"/>
      <protection locked="0"/>
    </xf>
    <xf numFmtId="0" fontId="21" fillId="2" borderId="1" xfId="0" applyFont="1" applyFill="1" applyBorder="1" applyAlignment="1">
      <alignment horizontal="left" vertical="center"/>
    </xf>
    <xf numFmtId="0" fontId="22" fillId="13" borderId="1" xfId="0" applyFont="1" applyFill="1" applyBorder="1" applyAlignment="1" applyProtection="1">
      <alignment horizontal="center" vertical="center"/>
      <protection locked="0"/>
    </xf>
    <xf numFmtId="0" fontId="23" fillId="13" borderId="1" xfId="0" applyFont="1" applyFill="1" applyBorder="1" applyAlignment="1" applyProtection="1">
      <alignment horizontal="center" vertical="center"/>
      <protection locked="0"/>
    </xf>
    <xf numFmtId="166" fontId="22" fillId="13" borderId="1" xfId="0" applyNumberFormat="1" applyFont="1" applyFill="1" applyBorder="1" applyAlignment="1" applyProtection="1">
      <alignment horizontal="right" vertical="center"/>
      <protection locked="0"/>
    </xf>
    <xf numFmtId="173" fontId="22" fillId="13" borderId="1" xfId="0" applyNumberFormat="1" applyFont="1" applyFill="1" applyBorder="1" applyAlignment="1" applyProtection="1">
      <alignment horizontal="right" vertical="center"/>
      <protection locked="0"/>
    </xf>
    <xf numFmtId="4" fontId="22" fillId="13" borderId="1" xfId="0" applyNumberFormat="1" applyFont="1" applyFill="1" applyBorder="1" applyAlignment="1" applyProtection="1">
      <alignment horizontal="right" vertical="center"/>
      <protection locked="0"/>
    </xf>
    <xf numFmtId="0" fontId="23" fillId="0" borderId="1" xfId="0" applyFont="1" applyBorder="1" applyAlignment="1">
      <alignment horizontal="left" vertical="center"/>
    </xf>
    <xf numFmtId="0" fontId="40" fillId="4" borderId="1" xfId="0" applyFont="1" applyFill="1" applyBorder="1" applyAlignment="1">
      <alignment horizontal="center" vertical="center"/>
    </xf>
    <xf numFmtId="166" fontId="41" fillId="13" borderId="0" xfId="0" applyNumberFormat="1" applyFont="1" applyFill="1" applyProtection="1">
      <protection locked="0"/>
    </xf>
    <xf numFmtId="0" fontId="41" fillId="13" borderId="0" xfId="0" applyFont="1" applyFill="1" applyProtection="1">
      <protection locked="0"/>
    </xf>
    <xf numFmtId="166" fontId="29" fillId="13" borderId="1" xfId="0" applyNumberFormat="1" applyFont="1" applyFill="1" applyBorder="1" applyAlignment="1" applyProtection="1">
      <alignment horizontal="right"/>
      <protection locked="0"/>
    </xf>
    <xf numFmtId="0" fontId="19" fillId="13" borderId="1" xfId="0" applyFont="1" applyFill="1" applyBorder="1" applyAlignment="1" applyProtection="1">
      <alignment horizontal="center"/>
      <protection locked="0"/>
    </xf>
    <xf numFmtId="0" fontId="36" fillId="0" borderId="1" xfId="0" applyFont="1" applyBorder="1" applyAlignment="1">
      <alignment horizontal="left" vertical="center"/>
    </xf>
    <xf numFmtId="166" fontId="37" fillId="13" borderId="1" xfId="0" applyNumberFormat="1" applyFont="1" applyFill="1" applyBorder="1" applyAlignment="1" applyProtection="1">
      <alignment horizontal="right"/>
      <protection locked="0"/>
    </xf>
    <xf numFmtId="10" fontId="22" fillId="13" borderId="1" xfId="0" applyNumberFormat="1" applyFont="1" applyFill="1" applyBorder="1" applyAlignment="1" applyProtection="1">
      <alignment horizontal="right"/>
      <protection locked="0"/>
    </xf>
    <xf numFmtId="171" fontId="22" fillId="13" borderId="1" xfId="0" applyNumberFormat="1" applyFont="1" applyFill="1" applyBorder="1" applyAlignment="1" applyProtection="1">
      <alignment horizontal="right"/>
      <protection locked="0"/>
    </xf>
    <xf numFmtId="172" fontId="22" fillId="13" borderId="1" xfId="0" applyNumberFormat="1" applyFont="1" applyFill="1" applyBorder="1" applyAlignment="1" applyProtection="1">
      <alignment horizontal="right"/>
      <protection locked="0"/>
    </xf>
    <xf numFmtId="3" fontId="22" fillId="13" borderId="1" xfId="0" applyNumberFormat="1" applyFont="1" applyFill="1" applyBorder="1" applyAlignment="1" applyProtection="1">
      <alignment horizontal="right"/>
      <protection locked="0"/>
    </xf>
    <xf numFmtId="4" fontId="22" fillId="13" borderId="1" xfId="0" applyNumberFormat="1" applyFont="1" applyFill="1" applyBorder="1" applyAlignment="1" applyProtection="1">
      <alignment horizontal="right"/>
      <protection locked="0"/>
    </xf>
    <xf numFmtId="166" fontId="43" fillId="13" borderId="1" xfId="0" applyNumberFormat="1" applyFont="1" applyFill="1" applyBorder="1" applyAlignment="1" applyProtection="1">
      <alignment horizontal="right"/>
      <protection locked="0"/>
    </xf>
    <xf numFmtId="0" fontId="22" fillId="0" borderId="1" xfId="0" applyFont="1" applyBorder="1" applyAlignment="1">
      <alignment horizontal="center" vertical="center"/>
    </xf>
    <xf numFmtId="173" fontId="22" fillId="13" borderId="1" xfId="0" applyNumberFormat="1" applyFont="1" applyFill="1" applyBorder="1" applyAlignment="1" applyProtection="1">
      <alignment horizontal="right"/>
      <protection locked="0"/>
    </xf>
    <xf numFmtId="166" fontId="40" fillId="4" borderId="1" xfId="0" applyNumberFormat="1" applyFont="1" applyFill="1" applyBorder="1" applyAlignment="1">
      <alignment horizontal="center" vertical="center"/>
    </xf>
    <xf numFmtId="10" fontId="40" fillId="4" borderId="1" xfId="0" applyNumberFormat="1" applyFont="1" applyFill="1" applyBorder="1" applyAlignment="1">
      <alignment horizontal="center" vertical="center"/>
    </xf>
    <xf numFmtId="0" fontId="4" fillId="13" borderId="1" xfId="0" applyFont="1" applyFill="1" applyBorder="1" applyAlignment="1" applyProtection="1">
      <alignment horizontal="center"/>
      <protection locked="0"/>
    </xf>
    <xf numFmtId="9" fontId="40" fillId="4" borderId="1" xfId="0" applyNumberFormat="1" applyFont="1" applyFill="1" applyBorder="1" applyAlignment="1">
      <alignment horizontal="center" vertical="center"/>
    </xf>
    <xf numFmtId="174" fontId="40" fillId="4" borderId="1" xfId="0" applyNumberFormat="1" applyFont="1" applyFill="1" applyBorder="1" applyAlignment="1">
      <alignment horizontal="center" vertical="center"/>
    </xf>
    <xf numFmtId="1" fontId="4" fillId="13" borderId="1" xfId="0" applyNumberFormat="1" applyFont="1" applyFill="1" applyBorder="1" applyAlignment="1" applyProtection="1">
      <alignment horizontal="center"/>
      <protection locked="0"/>
    </xf>
    <xf numFmtId="4" fontId="4" fillId="13" borderId="1" xfId="0" applyNumberFormat="1" applyFont="1" applyFill="1" applyBorder="1" applyAlignment="1" applyProtection="1">
      <alignment horizontal="center"/>
      <protection locked="0"/>
    </xf>
    <xf numFmtId="166" fontId="4" fillId="13" borderId="1" xfId="0" applyNumberFormat="1" applyFont="1" applyFill="1" applyBorder="1" applyAlignment="1" applyProtection="1">
      <alignment horizontal="center"/>
      <protection locked="0"/>
    </xf>
    <xf numFmtId="10" fontId="4" fillId="13" borderId="1" xfId="0" applyNumberFormat="1" applyFont="1" applyFill="1" applyBorder="1" applyAlignment="1" applyProtection="1">
      <alignment horizontal="center"/>
      <protection locked="0"/>
    </xf>
    <xf numFmtId="4" fontId="4" fillId="13" borderId="1" xfId="0" applyNumberFormat="1" applyFont="1" applyFill="1" applyBorder="1" applyProtection="1">
      <protection locked="0"/>
    </xf>
    <xf numFmtId="0" fontId="44" fillId="2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1" fontId="22" fillId="10" borderId="1" xfId="0" applyNumberFormat="1" applyFont="1" applyFill="1" applyBorder="1" applyAlignment="1">
      <alignment horizontal="center" vertical="center"/>
    </xf>
    <xf numFmtId="166" fontId="23" fillId="13" borderId="1" xfId="0" applyNumberFormat="1" applyFont="1" applyFill="1" applyBorder="1" applyAlignment="1" applyProtection="1">
      <alignment horizontal="right" vertical="center"/>
      <protection locked="0"/>
    </xf>
    <xf numFmtId="1" fontId="23" fillId="13" borderId="1" xfId="0" applyNumberFormat="1" applyFont="1" applyFill="1" applyBorder="1" applyAlignment="1" applyProtection="1">
      <alignment horizontal="center" vertical="center"/>
      <protection locked="0"/>
    </xf>
    <xf numFmtId="171" fontId="22" fillId="13" borderId="1" xfId="0" applyNumberFormat="1" applyFont="1" applyFill="1" applyBorder="1" applyAlignment="1" applyProtection="1">
      <alignment horizontal="right" vertical="center"/>
      <protection locked="0"/>
    </xf>
    <xf numFmtId="0" fontId="39" fillId="0" borderId="1" xfId="0" applyFont="1" applyBorder="1" applyAlignment="1">
      <alignment horizontal="left" vertical="center" wrapText="1"/>
    </xf>
    <xf numFmtId="1" fontId="22" fillId="6" borderId="1" xfId="0" applyNumberFormat="1" applyFont="1" applyFill="1" applyBorder="1" applyAlignment="1">
      <alignment horizontal="center" vertical="center"/>
    </xf>
    <xf numFmtId="1" fontId="22" fillId="9" borderId="1" xfId="0" applyNumberFormat="1" applyFont="1" applyFill="1" applyBorder="1" applyAlignment="1">
      <alignment horizontal="center" vertical="center"/>
    </xf>
    <xf numFmtId="166" fontId="37" fillId="13" borderId="0" xfId="0" applyNumberFormat="1" applyFont="1" applyFill="1" applyProtection="1">
      <protection locked="0"/>
    </xf>
    <xf numFmtId="10" fontId="37" fillId="13" borderId="0" xfId="0" applyNumberFormat="1" applyFont="1" applyFill="1" applyProtection="1">
      <protection locked="0"/>
    </xf>
    <xf numFmtId="9" fontId="37" fillId="13" borderId="0" xfId="0" applyNumberFormat="1" applyFont="1" applyFill="1" applyProtection="1">
      <protection locked="0"/>
    </xf>
    <xf numFmtId="174" fontId="37" fillId="13" borderId="0" xfId="0" applyNumberFormat="1" applyFont="1" applyFill="1" applyProtection="1">
      <protection locked="0"/>
    </xf>
    <xf numFmtId="0" fontId="26" fillId="2" borderId="1" xfId="0" applyFont="1" applyFill="1" applyBorder="1" applyAlignment="1">
      <alignment horizontal="center" vertical="center" wrapText="1"/>
    </xf>
    <xf numFmtId="175" fontId="22" fillId="13" borderId="1" xfId="0" applyNumberFormat="1" applyFont="1" applyFill="1" applyBorder="1" applyAlignment="1" applyProtection="1">
      <alignment horizontal="center" vertical="center"/>
      <protection locked="0"/>
    </xf>
    <xf numFmtId="0" fontId="29" fillId="13" borderId="1" xfId="0" applyFont="1" applyFill="1" applyBorder="1" applyAlignment="1" applyProtection="1">
      <alignment horizontal="center" vertical="center" wrapText="1"/>
      <protection locked="0"/>
    </xf>
    <xf numFmtId="4" fontId="23" fillId="13" borderId="1" xfId="0" applyNumberFormat="1" applyFont="1" applyFill="1" applyBorder="1" applyAlignment="1" applyProtection="1">
      <alignment horizontal="right" vertical="center"/>
      <protection locked="0"/>
    </xf>
    <xf numFmtId="0" fontId="38" fillId="4" borderId="1" xfId="0" applyFont="1" applyFill="1" applyBorder="1" applyAlignment="1">
      <alignment horizontal="center" vertical="center"/>
    </xf>
    <xf numFmtId="176" fontId="40" fillId="4" borderId="1" xfId="0" applyNumberFormat="1" applyFont="1" applyFill="1" applyBorder="1" applyAlignment="1">
      <alignment horizontal="center" vertical="center"/>
    </xf>
    <xf numFmtId="167" fontId="40" fillId="4" borderId="1" xfId="0" applyNumberFormat="1" applyFont="1" applyFill="1" applyBorder="1" applyAlignment="1">
      <alignment horizontal="center" vertical="center"/>
    </xf>
    <xf numFmtId="177" fontId="23" fillId="13" borderId="1" xfId="0" applyNumberFormat="1" applyFont="1" applyFill="1" applyBorder="1" applyAlignment="1" applyProtection="1">
      <alignment horizontal="right" vertical="center"/>
      <protection locked="0"/>
    </xf>
    <xf numFmtId="0" fontId="22" fillId="0" borderId="1" xfId="0" applyFont="1" applyBorder="1" applyAlignment="1">
      <alignment horizontal="left" vertical="center"/>
    </xf>
    <xf numFmtId="177" fontId="22" fillId="13" borderId="1" xfId="0" applyNumberFormat="1" applyFont="1" applyFill="1" applyBorder="1" applyAlignment="1" applyProtection="1">
      <alignment horizontal="right" vertical="center"/>
      <protection locked="0"/>
    </xf>
    <xf numFmtId="177" fontId="47" fillId="13" borderId="1" xfId="0" applyNumberFormat="1" applyFont="1" applyFill="1" applyBorder="1" applyAlignment="1" applyProtection="1">
      <alignment horizontal="right" vertical="center"/>
      <protection locked="0"/>
    </xf>
    <xf numFmtId="10" fontId="47" fillId="13" borderId="1" xfId="0" applyNumberFormat="1" applyFont="1" applyFill="1" applyBorder="1" applyAlignment="1" applyProtection="1">
      <alignment horizontal="right" vertical="center"/>
      <protection locked="0"/>
    </xf>
    <xf numFmtId="165" fontId="4" fillId="13" borderId="1" xfId="0" applyNumberFormat="1" applyFont="1" applyFill="1" applyBorder="1" applyAlignment="1" applyProtection="1">
      <alignment horizontal="center" vertical="center"/>
      <protection locked="0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166" fontId="29" fillId="13" borderId="0" xfId="0" applyNumberFormat="1" applyFont="1" applyFill="1" applyAlignment="1" applyProtection="1">
      <alignment horizontal="left" vertical="center"/>
      <protection locked="0"/>
    </xf>
    <xf numFmtId="173" fontId="29" fillId="13" borderId="0" xfId="0" applyNumberFormat="1" applyFont="1" applyFill="1" applyAlignment="1" applyProtection="1">
      <alignment horizontal="left" vertical="center"/>
      <protection locked="0"/>
    </xf>
    <xf numFmtId="0" fontId="38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178" fontId="29" fillId="0" borderId="1" xfId="0" applyNumberFormat="1" applyFont="1" applyBorder="1" applyAlignment="1">
      <alignment horizontal="left" vertical="center" wrapText="1"/>
    </xf>
    <xf numFmtId="0" fontId="33" fillId="2" borderId="0" xfId="0" applyFont="1" applyFill="1" applyAlignment="1">
      <alignment horizontal="left" vertical="center"/>
    </xf>
    <xf numFmtId="0" fontId="34" fillId="0" borderId="0" xfId="0" applyFont="1" applyAlignment="1">
      <alignment vertical="top" wrapText="1"/>
    </xf>
    <xf numFmtId="0" fontId="10" fillId="2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9" fillId="0" borderId="2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5" fillId="13" borderId="1" xfId="0" applyFont="1" applyFill="1" applyBorder="1" applyAlignment="1" applyProtection="1">
      <alignment horizontal="center" vertical="center"/>
      <protection locked="0"/>
    </xf>
    <xf numFmtId="0" fontId="4" fillId="13" borderId="1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>
      <alignment horizontal="left" vertical="center"/>
    </xf>
    <xf numFmtId="0" fontId="42" fillId="13" borderId="1" xfId="0" applyFont="1" applyFill="1" applyBorder="1" applyAlignment="1" applyProtection="1">
      <alignment horizontal="left" vertical="center" wrapText="1"/>
      <protection locked="0"/>
    </xf>
    <xf numFmtId="0" fontId="17" fillId="13" borderId="0" xfId="0" applyFont="1" applyFill="1" applyAlignment="1" applyProtection="1">
      <alignment horizontal="left" vertical="center" wrapText="1"/>
      <protection locked="0"/>
    </xf>
    <xf numFmtId="0" fontId="17" fillId="0" borderId="0" xfId="0" applyFont="1" applyAlignment="1">
      <alignment horizontal="left" vertical="center"/>
    </xf>
    <xf numFmtId="0" fontId="22" fillId="0" borderId="2" xfId="0" applyFont="1" applyBorder="1" applyAlignment="1">
      <alignment horizontal="left" vertical="center" wrapText="1"/>
    </xf>
    <xf numFmtId="0" fontId="26" fillId="5" borderId="0" xfId="0" applyFont="1" applyFill="1" applyAlignment="1">
      <alignment horizontal="left" vertical="center"/>
    </xf>
    <xf numFmtId="0" fontId="22" fillId="0" borderId="1" xfId="0" applyFont="1" applyBorder="1" applyAlignment="1">
      <alignment horizontal="left" vertical="center" wrapText="1"/>
    </xf>
    <xf numFmtId="0" fontId="45" fillId="2" borderId="0" xfId="0" applyFont="1" applyFill="1" applyAlignment="1">
      <alignment horizontal="left" vertical="center"/>
    </xf>
    <xf numFmtId="0" fontId="34" fillId="13" borderId="0" xfId="0" applyFont="1" applyFill="1" applyAlignment="1" applyProtection="1">
      <alignment vertical="top" wrapText="1"/>
      <protection locked="0"/>
    </xf>
    <xf numFmtId="0" fontId="46" fillId="0" borderId="0" xfId="0" applyFont="1" applyAlignment="1">
      <alignment horizontal="left" vertical="center" wrapText="1"/>
    </xf>
    <xf numFmtId="0" fontId="5" fillId="13" borderId="1" xfId="0" applyFont="1" applyFill="1" applyBorder="1" applyAlignment="1" applyProtection="1">
      <alignment horizontal="center" vertical="center" wrapText="1"/>
      <protection locked="0"/>
    </xf>
    <xf numFmtId="0" fontId="23" fillId="3" borderId="1" xfId="0" applyFont="1" applyFill="1" applyBorder="1" applyAlignment="1">
      <alignment horizontal="left" vertical="center"/>
    </xf>
    <xf numFmtId="0" fontId="29" fillId="13" borderId="1" xfId="0" applyFont="1" applyFill="1" applyBorder="1" applyAlignment="1" applyProtection="1">
      <alignment horizontal="left" vertical="center" wrapText="1"/>
      <protection locked="0"/>
    </xf>
    <xf numFmtId="0" fontId="29" fillId="0" borderId="1" xfId="0" applyFont="1" applyBorder="1" applyAlignment="1">
      <alignment horizontal="left" vertical="center" wrapText="1"/>
    </xf>
    <xf numFmtId="0" fontId="38" fillId="13" borderId="1" xfId="0" applyFont="1" applyFill="1" applyBorder="1" applyAlignment="1" applyProtection="1">
      <alignment horizontal="center" wrapText="1"/>
      <protection locked="0"/>
    </xf>
    <xf numFmtId="0" fontId="42" fillId="0" borderId="0" xfId="0" applyFont="1" applyAlignment="1">
      <alignment horizontal="left" vertical="center" wrapText="1"/>
    </xf>
  </cellXfs>
  <cellStyles count="1">
    <cellStyle name="Normal" xfId="0" builtinId="0"/>
  </cellStyles>
  <dxfs count="36"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E2EFDA"/>
        </patternFill>
      </fill>
    </dxf>
    <dxf>
      <fill>
        <patternFill>
          <bgColor rgb="FFDDEBF7"/>
        </patternFill>
      </fill>
    </dxf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DDEBF7"/>
        </patternFill>
      </fill>
    </dxf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DDEBF7"/>
        </patternFill>
      </fill>
    </dxf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DDEBF7"/>
        </patternFill>
      </fill>
    </dxf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DDEBF7"/>
        </patternFill>
      </fill>
    </dxf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DDEBF7"/>
        </patternFill>
      </fill>
    </dxf>
    <dxf>
      <fill>
        <patternFill>
          <bgColor rgb="FFFFF2CC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  <dxf>
      <fill>
        <patternFill>
          <bgColor rgb="FFFFC7CE"/>
        </patternFill>
      </fill>
    </dxf>
    <dxf>
      <fill>
        <patternFill>
          <bgColor rgb="FFE2EFDA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DC"/>
      <rgbColor rgb="FFDDEBF7"/>
      <rgbColor rgb="FF660066"/>
      <rgbColor rgb="FFFF8080"/>
      <rgbColor rgb="FF2E75B6"/>
      <rgbColor rgb="FFBFBFB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2F8"/>
      <rgbColor rgb="FFD9EAD3"/>
      <rgbColor rgb="FFFFF2CC"/>
      <rgbColor rgb="FFE7E6E6"/>
      <rgbColor rgb="FFE2EFDA"/>
      <rgbColor rgb="FFF2F2F2"/>
      <rgbColor rgb="FFFFC7CE"/>
      <rgbColor rgb="FF4472C4"/>
      <rgbColor rgb="FF33CCCC"/>
      <rgbColor rgb="FF99CC00"/>
      <rgbColor rgb="FFFFCC00"/>
      <rgbColor rgb="FFFF9900"/>
      <rgbColor rgb="FFC55A11"/>
      <rgbColor rgb="FF595959"/>
      <rgbColor rgb="FF969696"/>
      <rgbColor rgb="FF1F3864"/>
      <rgbColor rgb="FF339966"/>
      <rgbColor rgb="FF003300"/>
      <rgbColor rgb="FF274E13"/>
      <rgbColor rgb="FF9C57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topLeftCell="A16" zoomScaleNormal="100" workbookViewId="0">
      <selection activeCell="B25" sqref="B25:E25"/>
    </sheetView>
  </sheetViews>
  <sheetFormatPr baseColWidth="10" defaultColWidth="8.7109375" defaultRowHeight="12.75" x14ac:dyDescent="0.2"/>
  <cols>
    <col min="1" max="1" width="10" customWidth="1"/>
    <col min="2" max="2" width="120" customWidth="1"/>
    <col min="3" max="3" width="22" customWidth="1"/>
    <col min="4" max="4" width="13" customWidth="1"/>
    <col min="5" max="5" width="30" customWidth="1"/>
    <col min="6" max="6" width="36" customWidth="1"/>
    <col min="7" max="7" width="40" customWidth="1"/>
    <col min="8" max="10" width="13" customWidth="1"/>
  </cols>
  <sheetData>
    <row r="1" spans="1:9" ht="15" customHeight="1" x14ac:dyDescent="0.2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</row>
    <row r="2" spans="1:9" ht="30" customHeight="1" x14ac:dyDescent="0.2">
      <c r="B2" s="13" t="s">
        <v>0</v>
      </c>
      <c r="C2" s="13"/>
      <c r="D2" s="13"/>
      <c r="E2" s="13"/>
    </row>
    <row r="4" spans="1:9" ht="15" customHeight="1" x14ac:dyDescent="0.2">
      <c r="B4" s="15" t="s">
        <v>1</v>
      </c>
      <c r="C4" s="12" t="s">
        <v>2</v>
      </c>
      <c r="D4" s="12"/>
      <c r="E4" s="12"/>
    </row>
    <row r="5" spans="1:9" ht="15" customHeight="1" x14ac:dyDescent="0.2">
      <c r="B5" s="15" t="s">
        <v>3</v>
      </c>
      <c r="C5" s="12" t="s">
        <v>4</v>
      </c>
      <c r="D5" s="12"/>
      <c r="E5" s="12"/>
    </row>
    <row r="6" spans="1:9" ht="15" customHeight="1" x14ac:dyDescent="0.2">
      <c r="B6" s="15" t="s">
        <v>5</v>
      </c>
      <c r="C6" s="12" t="s">
        <v>6</v>
      </c>
      <c r="D6" s="12"/>
      <c r="E6" s="12"/>
      <c r="G6" s="16"/>
      <c r="H6" s="16"/>
      <c r="I6" s="16"/>
    </row>
    <row r="7" spans="1:9" ht="15" customHeight="1" x14ac:dyDescent="0.2">
      <c r="B7" s="15" t="s">
        <v>7</v>
      </c>
      <c r="C7" s="12" t="s">
        <v>8</v>
      </c>
      <c r="D7" s="12"/>
      <c r="E7" s="12"/>
    </row>
    <row r="8" spans="1:9" ht="15" customHeight="1" x14ac:dyDescent="0.2">
      <c r="B8" s="15" t="s">
        <v>9</v>
      </c>
      <c r="C8" s="12" t="s">
        <v>10</v>
      </c>
      <c r="D8" s="12"/>
      <c r="E8" s="12"/>
    </row>
    <row r="10" spans="1:9" ht="15" customHeight="1" x14ac:dyDescent="0.2">
      <c r="B10" s="15" t="s">
        <v>11</v>
      </c>
      <c r="C10" s="17" t="s">
        <v>12</v>
      </c>
    </row>
    <row r="11" spans="1:9" ht="30" customHeight="1" x14ac:dyDescent="0.2">
      <c r="C11" s="11" t="s">
        <v>13</v>
      </c>
      <c r="D11" s="11"/>
      <c r="E11" s="11"/>
    </row>
    <row r="12" spans="1:9" ht="15" customHeight="1" x14ac:dyDescent="0.2">
      <c r="B12" s="15" t="s">
        <v>14</v>
      </c>
      <c r="C12" s="18" t="s">
        <v>15</v>
      </c>
    </row>
    <row r="13" spans="1:9" ht="30" customHeight="1" x14ac:dyDescent="0.2">
      <c r="B13" s="19" t="str">
        <f>HYPERLINK("#'1. Caso y ruta'!A1","▶  COMENZAR EL CASO")</f>
        <v>▶  COMENZAR EL CASO</v>
      </c>
      <c r="C13" s="19" t="str">
        <f>HYPERLINK("#'2. Inputs'!A1","▶  IR AL MODELO")</f>
        <v>▶  IR AL MODELO</v>
      </c>
      <c r="D13" s="19" t="str">
        <f>HYPERLINK("#'7. Dashboard'!A1","▶  VER DASHBOARD")</f>
        <v>▶  VER DASHBOARD</v>
      </c>
    </row>
    <row r="15" spans="1:9" ht="21.75" customHeight="1" x14ac:dyDescent="0.2">
      <c r="B15" s="10" t="s">
        <v>16</v>
      </c>
      <c r="C15" s="10"/>
      <c r="D15" s="10"/>
      <c r="E15" s="10"/>
    </row>
    <row r="16" spans="1:9" ht="21.75" customHeight="1" x14ac:dyDescent="0.2">
      <c r="B16" s="10"/>
      <c r="C16" s="10"/>
      <c r="D16" s="10"/>
      <c r="E16" s="10"/>
    </row>
    <row r="17" spans="2:9" ht="31.5" customHeight="1" x14ac:dyDescent="0.2">
      <c r="B17" s="20" t="s">
        <v>17</v>
      </c>
      <c r="C17" s="9" t="s">
        <v>18</v>
      </c>
      <c r="D17" s="9"/>
      <c r="G17" s="21"/>
      <c r="H17" s="21"/>
      <c r="I17" s="21"/>
    </row>
    <row r="18" spans="2:9" ht="19.5" customHeight="1" x14ac:dyDescent="0.2">
      <c r="B18" s="8" t="s">
        <v>19</v>
      </c>
      <c r="C18" s="8"/>
      <c r="D18" s="8"/>
      <c r="E18" s="8"/>
    </row>
    <row r="19" spans="2:9" ht="16.5" customHeight="1" x14ac:dyDescent="0.2">
      <c r="B19" s="7" t="str">
        <f>HYPERLINK("#'1. Caso y ruta'!A1","1) Leer el caso")</f>
        <v>1) Leer el caso</v>
      </c>
      <c r="C19" s="7"/>
      <c r="D19" s="7"/>
      <c r="E19" s="7"/>
    </row>
    <row r="20" spans="2:9" ht="16.5" customHeight="1" x14ac:dyDescent="0.2">
      <c r="B20" s="7" t="str">
        <f>HYPERLINK("#'2. Inputs'!A1","2) Revisar los inputs"&amp;IF($C$12="Básico"," (módulos A, B y H)"," (todos los módulos)"))</f>
        <v>2) Revisar los inputs (módulos A, B y H)</v>
      </c>
      <c r="C20" s="7"/>
      <c r="D20" s="7"/>
      <c r="E20" s="7"/>
    </row>
    <row r="21" spans="2:9" ht="16.5" customHeight="1" x14ac:dyDescent="0.2">
      <c r="B21" s="7" t="str">
        <f>HYPERLINK("#'3. Modelo financiero'!A1","3) Modelo privado")</f>
        <v>3) Modelo privado</v>
      </c>
      <c r="C21" s="7"/>
      <c r="D21" s="7"/>
      <c r="E21" s="7"/>
    </row>
    <row r="22" spans="2:9" ht="16.5" customHeight="1" x14ac:dyDescent="0.2">
      <c r="B22" s="7" t="str">
        <f>IF($C$12="Avanzado",HYPERLINK("#'4. Impactos e internalización'!A1","4) Impactos sociales"),HYPERLINK("#'5. Decisión e incremental'!A1","4) Decisión"))</f>
        <v>4) Decisión</v>
      </c>
      <c r="C22" s="7"/>
      <c r="D22" s="7"/>
      <c r="E22" s="7"/>
    </row>
    <row r="23" spans="2:9" ht="16.5" customHeight="1" x14ac:dyDescent="0.2">
      <c r="B23" s="7" t="str">
        <f>IF($C$12="Avanzado",HYPERLINK("#'4. Impactos e internalización'!A60","5) Internalización por canales"),HYPERLINK("#'7. Dashboard'!A1","5) Dashboard"))</f>
        <v>5) Dashboard</v>
      </c>
      <c r="C23" s="7"/>
      <c r="D23" s="7"/>
      <c r="E23" s="7"/>
    </row>
    <row r="24" spans="2:9" ht="16.5" customHeight="1" x14ac:dyDescent="0.2">
      <c r="B24" s="7" t="str">
        <f>IF($C$12="Avanzado",HYPERLINK("#'5. Decisión e incremental'!A45","6) Incremental"),HYPERLINK("#'8. Actividades y evaluación'!A1","6) Actividades 1-5"))</f>
        <v>6) Actividades 1-5</v>
      </c>
      <c r="C24" s="7"/>
      <c r="D24" s="7"/>
      <c r="E24" s="7"/>
    </row>
    <row r="25" spans="2:9" ht="16.5" customHeight="1" x14ac:dyDescent="0.2">
      <c r="B25" s="7" t="str">
        <f>IF($C$12="Avanzado",HYPERLINK("#'6. Sensibilidades'!A1","7) Sensibilidades y puntos de equilibrio"),HYPERLINK("#'8. Actividades y evaluación'!A1","7) Rúbrica de evaluación"))</f>
        <v>7) Rúbrica de evaluación</v>
      </c>
      <c r="C25" s="7"/>
      <c r="D25" s="7"/>
      <c r="E25" s="7"/>
    </row>
    <row r="26" spans="2:9" ht="16.5" customHeight="1" x14ac:dyDescent="0.2">
      <c r="B26" s="7" t="str">
        <f>IF($C$12="Avanzado",HYPERLINK("#'8. Actividades y evaluación'!A1","8) Matriz de fuentes y confianza de los datos"),"")</f>
        <v/>
      </c>
      <c r="C26" s="7"/>
      <c r="D26" s="7"/>
      <c r="E26" s="7"/>
    </row>
    <row r="27" spans="2:9" ht="16.5" customHeight="1" x14ac:dyDescent="0.2">
      <c r="B27" s="7" t="str">
        <f>IF($C$12="Avanzado",HYPERLINK("#'8. Actividades y evaluación'!A1","9) Rúbrica de evaluación"),"")</f>
        <v/>
      </c>
      <c r="C27" s="7"/>
      <c r="D27" s="7"/>
      <c r="E27" s="7"/>
    </row>
    <row r="29" spans="2:9" ht="21.75" customHeight="1" x14ac:dyDescent="0.2">
      <c r="B29" s="6" t="str">
        <f>"Vista "&amp;C12&amp;": "&amp;IF(C12="Básico","concéntrese en el caso, los inputs principales (módulos A, B y H), el modelo privado, la decisión y el dashboard.","recorra además los impactos sociales, la internalización por canales, el incremental, las sensibilidades y la calidad de las fuentes.")</f>
        <v>Vista Básico: concéntrese en el caso, los inputs principales (módulos A, B y H), el modelo privado, la decisión y el dashboard.</v>
      </c>
      <c r="C29" s="6"/>
      <c r="D29" s="6"/>
      <c r="E29" s="6"/>
    </row>
    <row r="30" spans="2:9" ht="21.75" customHeight="1" x14ac:dyDescent="0.2">
      <c r="B30" s="6"/>
      <c r="C30" s="6"/>
      <c r="D30" s="6"/>
      <c r="E30" s="6"/>
    </row>
    <row r="32" spans="2:9" ht="31.5" customHeight="1" x14ac:dyDescent="0.2">
      <c r="B32" s="5" t="s">
        <v>20</v>
      </c>
      <c r="C32" s="5"/>
      <c r="D32" s="5"/>
      <c r="E32" s="22"/>
    </row>
    <row r="35" spans="1:2" ht="19.5" customHeight="1" x14ac:dyDescent="0.2">
      <c r="A35" s="4" t="s">
        <v>21</v>
      </c>
      <c r="B35" s="4"/>
    </row>
    <row r="37" spans="1:2" ht="54" customHeight="1" x14ac:dyDescent="0.2">
      <c r="B37" s="23" t="s">
        <v>22</v>
      </c>
    </row>
    <row r="39" spans="1:2" ht="52.5" customHeight="1" x14ac:dyDescent="0.2">
      <c r="B39" s="23" t="s">
        <v>23</v>
      </c>
    </row>
    <row r="41" spans="1:2" ht="90.75" customHeight="1" x14ac:dyDescent="0.2">
      <c r="B41" s="23" t="s">
        <v>24</v>
      </c>
    </row>
    <row r="43" spans="1:2" ht="87" customHeight="1" x14ac:dyDescent="0.2">
      <c r="B43" s="23" t="s">
        <v>25</v>
      </c>
    </row>
    <row r="45" spans="1:2" ht="69.75" customHeight="1" x14ac:dyDescent="0.2">
      <c r="B45" s="23" t="s">
        <v>26</v>
      </c>
    </row>
    <row r="47" spans="1:2" ht="30" customHeight="1" x14ac:dyDescent="0.2">
      <c r="B47" s="24" t="s">
        <v>27</v>
      </c>
    </row>
    <row r="49" spans="1:10" ht="39.75" customHeight="1" x14ac:dyDescent="0.2">
      <c r="B49" s="23" t="s">
        <v>28</v>
      </c>
    </row>
    <row r="55" spans="1:10" ht="15" customHeight="1" x14ac:dyDescent="0.2">
      <c r="A55" s="25" t="s">
        <v>29</v>
      </c>
      <c r="B55" s="25" t="s">
        <v>30</v>
      </c>
      <c r="C55" s="25" t="s">
        <v>31</v>
      </c>
      <c r="D55" s="25" t="s">
        <v>32</v>
      </c>
      <c r="E55" s="25" t="s">
        <v>33</v>
      </c>
      <c r="F55" s="25" t="s">
        <v>34</v>
      </c>
      <c r="G55" s="25" t="s">
        <v>35</v>
      </c>
    </row>
    <row r="56" spans="1:10" ht="39.75" customHeight="1" x14ac:dyDescent="0.2">
      <c r="A56" s="26" t="s">
        <v>36</v>
      </c>
      <c r="B56" s="27" t="s">
        <v>37</v>
      </c>
      <c r="C56" s="27" t="s">
        <v>38</v>
      </c>
      <c r="D56" s="28">
        <v>15</v>
      </c>
      <c r="E56" s="27" t="s">
        <v>39</v>
      </c>
      <c r="F56" s="27" t="s">
        <v>40</v>
      </c>
      <c r="G56" s="27" t="s">
        <v>41</v>
      </c>
    </row>
    <row r="57" spans="1:10" ht="39.75" customHeight="1" x14ac:dyDescent="0.2">
      <c r="A57" s="26" t="s">
        <v>42</v>
      </c>
      <c r="B57" s="27" t="s">
        <v>43</v>
      </c>
      <c r="C57" s="27" t="s">
        <v>44</v>
      </c>
      <c r="D57" s="28">
        <v>35</v>
      </c>
      <c r="E57" s="27" t="s">
        <v>45</v>
      </c>
      <c r="F57" s="27" t="s">
        <v>46</v>
      </c>
      <c r="G57" s="27" t="s">
        <v>47</v>
      </c>
    </row>
    <row r="58" spans="1:10" ht="39.75" customHeight="1" x14ac:dyDescent="0.2">
      <c r="A58" s="26" t="s">
        <v>48</v>
      </c>
      <c r="B58" s="27" t="s">
        <v>49</v>
      </c>
      <c r="C58" s="27" t="s">
        <v>50</v>
      </c>
      <c r="D58" s="28">
        <v>25</v>
      </c>
      <c r="E58" s="27" t="s">
        <v>51</v>
      </c>
      <c r="F58" s="27" t="s">
        <v>52</v>
      </c>
      <c r="G58" s="27" t="s">
        <v>53</v>
      </c>
    </row>
    <row r="59" spans="1:10" ht="39.75" customHeight="1" x14ac:dyDescent="0.2">
      <c r="A59" s="26" t="s">
        <v>54</v>
      </c>
      <c r="B59" s="27" t="s">
        <v>55</v>
      </c>
      <c r="C59" s="27" t="s">
        <v>50</v>
      </c>
      <c r="D59" s="28">
        <v>15</v>
      </c>
      <c r="E59" s="27" t="s">
        <v>56</v>
      </c>
      <c r="F59" s="27" t="s">
        <v>57</v>
      </c>
      <c r="G59" s="27" t="s">
        <v>58</v>
      </c>
    </row>
    <row r="60" spans="1:10" ht="39.75" customHeight="1" x14ac:dyDescent="0.2">
      <c r="A60" s="26" t="s">
        <v>59</v>
      </c>
      <c r="B60" s="27" t="s">
        <v>60</v>
      </c>
      <c r="C60" s="27" t="s">
        <v>61</v>
      </c>
      <c r="D60" s="28">
        <v>25</v>
      </c>
      <c r="E60" s="27" t="s">
        <v>62</v>
      </c>
      <c r="F60" s="27" t="s">
        <v>63</v>
      </c>
      <c r="G60" s="27" t="s">
        <v>64</v>
      </c>
    </row>
    <row r="61" spans="1:10" ht="39.75" customHeight="1" x14ac:dyDescent="0.2">
      <c r="A61" s="26" t="s">
        <v>65</v>
      </c>
      <c r="B61" s="27" t="s">
        <v>66</v>
      </c>
      <c r="C61" s="27" t="s">
        <v>67</v>
      </c>
      <c r="D61" s="28">
        <v>25</v>
      </c>
      <c r="E61" s="27" t="s">
        <v>68</v>
      </c>
      <c r="F61" s="27" t="s">
        <v>69</v>
      </c>
      <c r="G61" s="27" t="s">
        <v>70</v>
      </c>
    </row>
    <row r="62" spans="1:10" ht="39.75" customHeight="1" x14ac:dyDescent="0.2">
      <c r="A62" s="26" t="s">
        <v>71</v>
      </c>
      <c r="B62" s="27" t="s">
        <v>72</v>
      </c>
      <c r="C62" s="27" t="s">
        <v>73</v>
      </c>
      <c r="D62" s="28">
        <v>40</v>
      </c>
      <c r="E62" s="27" t="s">
        <v>74</v>
      </c>
      <c r="F62" s="27" t="s">
        <v>75</v>
      </c>
      <c r="G62" s="27" t="s">
        <v>76</v>
      </c>
    </row>
    <row r="63" spans="1:10" ht="15" customHeight="1" x14ac:dyDescent="0.2">
      <c r="C63" s="29" t="s">
        <v>77</v>
      </c>
      <c r="D63" s="30">
        <f>SUM(D56:D62)</f>
        <v>180</v>
      </c>
    </row>
    <row r="64" spans="1:10" ht="25.5" customHeight="1" x14ac:dyDescent="0.2">
      <c r="A64" s="6" t="s">
        <v>78</v>
      </c>
      <c r="B64" s="6"/>
      <c r="C64" s="6"/>
      <c r="D64" s="6"/>
      <c r="E64" s="6"/>
      <c r="F64" s="6"/>
      <c r="G64" s="6"/>
      <c r="H64" s="16"/>
      <c r="I64" s="31"/>
      <c r="J64" s="16"/>
    </row>
  </sheetData>
  <mergeCells count="23">
    <mergeCell ref="B29:E30"/>
    <mergeCell ref="B32:D32"/>
    <mergeCell ref="A35:B35"/>
    <mergeCell ref="A64:G64"/>
    <mergeCell ref="B23:E23"/>
    <mergeCell ref="B24:E24"/>
    <mergeCell ref="B25:E25"/>
    <mergeCell ref="B26:E26"/>
    <mergeCell ref="B27:E27"/>
    <mergeCell ref="B18:E18"/>
    <mergeCell ref="B19:E19"/>
    <mergeCell ref="B20:E20"/>
    <mergeCell ref="B21:E21"/>
    <mergeCell ref="B22:E22"/>
    <mergeCell ref="C7:E7"/>
    <mergeCell ref="C8:E8"/>
    <mergeCell ref="C11:E11"/>
    <mergeCell ref="B15:E16"/>
    <mergeCell ref="C17:D17"/>
    <mergeCell ref="B2:E2"/>
    <mergeCell ref="C4:E4"/>
    <mergeCell ref="C5:E5"/>
    <mergeCell ref="C6:E6"/>
  </mergeCells>
  <dataValidations count="1">
    <dataValidation type="list" sqref="C12" xr:uid="{00000000-0002-0000-0000-000000000000}">
      <formula1>"Básico,Avanzado"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4"/>
  <sheetViews>
    <sheetView zoomScaleNormal="100" workbookViewId="0"/>
  </sheetViews>
  <sheetFormatPr baseColWidth="10" defaultColWidth="8.7109375" defaultRowHeight="15" x14ac:dyDescent="0.25"/>
  <cols>
    <col min="1" max="1" width="44" style="32" customWidth="1"/>
    <col min="2" max="2" width="14" style="32" customWidth="1"/>
    <col min="3" max="5" width="12" style="32" customWidth="1"/>
    <col min="6" max="6" width="11" style="32" customWidth="1"/>
    <col min="7" max="7" width="7" style="32" customWidth="1"/>
    <col min="8" max="8" width="11" style="32" customWidth="1"/>
    <col min="9" max="9" width="9" style="32" customWidth="1"/>
    <col min="10" max="10" width="8" style="32" customWidth="1"/>
    <col min="11" max="11" width="42" style="32" customWidth="1"/>
    <col min="12" max="12" width="46" style="32" customWidth="1"/>
    <col min="13" max="13" width="30" style="32" customWidth="1"/>
  </cols>
  <sheetData>
    <row r="1" spans="1:13" ht="12.75" customHeight="1" x14ac:dyDescent="0.25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  <c r="I1" s="33"/>
      <c r="J1" s="33"/>
    </row>
    <row r="2" spans="1:13" ht="19.5" customHeight="1" x14ac:dyDescent="0.2">
      <c r="A2" s="4" t="s">
        <v>79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4" customHeight="1" x14ac:dyDescent="0.2">
      <c r="A3" s="3" t="s">
        <v>80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5" spans="1:13" ht="19.5" customHeight="1" x14ac:dyDescent="0.2">
      <c r="A5" s="8" t="s">
        <v>81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ht="15" customHeight="1" x14ac:dyDescent="0.2">
      <c r="A6" s="34" t="s">
        <v>82</v>
      </c>
      <c r="B6" s="34" t="s">
        <v>83</v>
      </c>
      <c r="C6" s="35"/>
      <c r="D6" s="35"/>
      <c r="E6" s="35"/>
      <c r="F6" s="34" t="s">
        <v>84</v>
      </c>
      <c r="G6" s="34" t="s">
        <v>85</v>
      </c>
      <c r="H6" s="34" t="s">
        <v>86</v>
      </c>
      <c r="I6" s="34" t="s">
        <v>87</v>
      </c>
      <c r="J6" s="34" t="s">
        <v>88</v>
      </c>
      <c r="K6" s="34" t="s">
        <v>89</v>
      </c>
      <c r="L6" s="34" t="s">
        <v>90</v>
      </c>
      <c r="M6" s="34" t="s">
        <v>91</v>
      </c>
    </row>
    <row r="7" spans="1:13" ht="25.5" customHeight="1" x14ac:dyDescent="0.25">
      <c r="A7" s="27" t="s">
        <v>92</v>
      </c>
      <c r="B7" s="36" t="s">
        <v>93</v>
      </c>
      <c r="F7" s="37" t="s">
        <v>94</v>
      </c>
      <c r="G7" s="37"/>
      <c r="H7" s="38" t="s">
        <v>95</v>
      </c>
      <c r="I7" s="39"/>
      <c r="J7" s="38" t="s">
        <v>96</v>
      </c>
      <c r="K7" s="40"/>
      <c r="L7" s="40" t="s">
        <v>97</v>
      </c>
      <c r="M7" s="41" t="str">
        <f t="shared" ref="M7:M26" si="0">IF(H7="Pedagógico","ILUSTRATIVO — no apto p/ decisión real",IF(H7="Simulado","NO VERIFICABLE — requiere validación técnica",IF(K7="","Revisar: el input no tiene fuente","")))</f>
        <v>Revisar: el input no tiene fuente</v>
      </c>
    </row>
    <row r="8" spans="1:13" ht="25.5" customHeight="1" x14ac:dyDescent="0.25">
      <c r="A8" s="27" t="s">
        <v>98</v>
      </c>
      <c r="B8" s="36" t="s">
        <v>99</v>
      </c>
      <c r="F8" s="37" t="s">
        <v>94</v>
      </c>
      <c r="G8" s="37"/>
      <c r="H8" s="38" t="s">
        <v>95</v>
      </c>
      <c r="I8" s="39"/>
      <c r="J8" s="38" t="s">
        <v>96</v>
      </c>
      <c r="K8" s="40"/>
      <c r="L8" s="40" t="s">
        <v>100</v>
      </c>
      <c r="M8" s="41" t="str">
        <f t="shared" si="0"/>
        <v>Revisar: el input no tiene fuente</v>
      </c>
    </row>
    <row r="9" spans="1:13" ht="25.5" customHeight="1" x14ac:dyDescent="0.25">
      <c r="A9" s="27" t="s">
        <v>101</v>
      </c>
      <c r="B9" s="42">
        <v>1</v>
      </c>
      <c r="F9" s="37" t="s">
        <v>102</v>
      </c>
      <c r="G9" s="37"/>
      <c r="H9" s="38" t="s">
        <v>95</v>
      </c>
      <c r="I9" s="39"/>
      <c r="J9" s="38" t="s">
        <v>96</v>
      </c>
      <c r="K9" s="40"/>
      <c r="L9" s="40" t="s">
        <v>103</v>
      </c>
      <c r="M9" s="41" t="str">
        <f t="shared" si="0"/>
        <v>Revisar: el input no tiene fuente</v>
      </c>
    </row>
    <row r="10" spans="1:13" ht="25.5" customHeight="1" x14ac:dyDescent="0.25">
      <c r="A10" s="27" t="s">
        <v>104</v>
      </c>
      <c r="B10" s="42">
        <v>1</v>
      </c>
      <c r="F10" s="37" t="s">
        <v>105</v>
      </c>
      <c r="G10" s="37"/>
      <c r="H10" s="38" t="s">
        <v>95</v>
      </c>
      <c r="I10" s="39"/>
      <c r="J10" s="38" t="s">
        <v>96</v>
      </c>
      <c r="K10" s="40"/>
      <c r="L10" s="40" t="s">
        <v>106</v>
      </c>
      <c r="M10" s="41" t="str">
        <f t="shared" si="0"/>
        <v>Revisar: el input no tiene fuente</v>
      </c>
    </row>
    <row r="11" spans="1:13" ht="25.5" customHeight="1" x14ac:dyDescent="0.25">
      <c r="A11" s="27" t="s">
        <v>107</v>
      </c>
      <c r="B11" s="42">
        <v>1</v>
      </c>
      <c r="F11" s="37" t="s">
        <v>105</v>
      </c>
      <c r="G11" s="37"/>
      <c r="H11" s="38" t="s">
        <v>95</v>
      </c>
      <c r="I11" s="39"/>
      <c r="J11" s="38" t="s">
        <v>96</v>
      </c>
      <c r="K11" s="40"/>
      <c r="L11" s="40" t="s">
        <v>108</v>
      </c>
      <c r="M11" s="41" t="str">
        <f t="shared" si="0"/>
        <v>Revisar: el input no tiene fuente</v>
      </c>
    </row>
    <row r="12" spans="1:13" ht="25.5" customHeight="1" x14ac:dyDescent="0.25">
      <c r="A12" s="27" t="s">
        <v>109</v>
      </c>
      <c r="B12" s="42">
        <v>10</v>
      </c>
      <c r="F12" s="37" t="s">
        <v>110</v>
      </c>
      <c r="G12" s="37"/>
      <c r="H12" s="38" t="s">
        <v>111</v>
      </c>
      <c r="I12" s="43" t="s">
        <v>112</v>
      </c>
      <c r="J12" s="38" t="s">
        <v>96</v>
      </c>
      <c r="K12" s="40" t="s">
        <v>113</v>
      </c>
      <c r="L12" s="40" t="s">
        <v>114</v>
      </c>
      <c r="M12" s="41" t="str">
        <f t="shared" si="0"/>
        <v>ILUSTRATIVO — no apto p/ decisión real</v>
      </c>
    </row>
    <row r="13" spans="1:13" ht="25.5" customHeight="1" x14ac:dyDescent="0.25">
      <c r="A13" s="27" t="s">
        <v>115</v>
      </c>
      <c r="B13" s="44">
        <v>0.1</v>
      </c>
      <c r="F13" s="37" t="s">
        <v>116</v>
      </c>
      <c r="G13" s="37" t="s">
        <v>93</v>
      </c>
      <c r="H13" s="38" t="s">
        <v>117</v>
      </c>
      <c r="I13" s="43" t="s">
        <v>112</v>
      </c>
      <c r="J13" s="38" t="s">
        <v>96</v>
      </c>
      <c r="K13" s="40" t="s">
        <v>118</v>
      </c>
      <c r="L13" s="40" t="s">
        <v>119</v>
      </c>
      <c r="M13" s="41" t="str">
        <f t="shared" si="0"/>
        <v/>
      </c>
    </row>
    <row r="14" spans="1:13" ht="25.5" customHeight="1" x14ac:dyDescent="0.25">
      <c r="A14" s="27" t="s">
        <v>120</v>
      </c>
      <c r="B14" s="44">
        <v>2.5000000000000001E-2</v>
      </c>
      <c r="F14" s="37" t="s">
        <v>116</v>
      </c>
      <c r="G14" s="37" t="s">
        <v>93</v>
      </c>
      <c r="H14" s="38" t="s">
        <v>121</v>
      </c>
      <c r="I14" s="45" t="s">
        <v>122</v>
      </c>
      <c r="J14" s="38" t="s">
        <v>96</v>
      </c>
      <c r="K14" s="40" t="s">
        <v>123</v>
      </c>
      <c r="L14" s="40" t="s">
        <v>124</v>
      </c>
      <c r="M14" s="41" t="str">
        <f t="shared" si="0"/>
        <v/>
      </c>
    </row>
    <row r="15" spans="1:13" ht="25.5" customHeight="1" x14ac:dyDescent="0.25">
      <c r="A15" s="27" t="s">
        <v>125</v>
      </c>
      <c r="B15" s="44">
        <v>0.04</v>
      </c>
      <c r="F15" s="37" t="s">
        <v>116</v>
      </c>
      <c r="G15" s="37" t="s">
        <v>126</v>
      </c>
      <c r="H15" s="38" t="s">
        <v>121</v>
      </c>
      <c r="I15" s="43" t="s">
        <v>112</v>
      </c>
      <c r="J15" s="38" t="s">
        <v>96</v>
      </c>
      <c r="K15" s="40" t="s">
        <v>127</v>
      </c>
      <c r="L15" s="40" t="s">
        <v>128</v>
      </c>
      <c r="M15" s="41" t="str">
        <f t="shared" si="0"/>
        <v/>
      </c>
    </row>
    <row r="16" spans="1:13" ht="25.5" customHeight="1" x14ac:dyDescent="0.25">
      <c r="A16" s="27" t="s">
        <v>129</v>
      </c>
      <c r="B16" s="46">
        <v>4000</v>
      </c>
      <c r="F16" s="37" t="s">
        <v>130</v>
      </c>
      <c r="G16" s="37"/>
      <c r="H16" s="38" t="s">
        <v>117</v>
      </c>
      <c r="I16" s="43" t="s">
        <v>112</v>
      </c>
      <c r="J16" s="38" t="s">
        <v>96</v>
      </c>
      <c r="K16" s="40" t="s">
        <v>131</v>
      </c>
      <c r="L16" s="40" t="s">
        <v>132</v>
      </c>
      <c r="M16" s="41" t="str">
        <f t="shared" si="0"/>
        <v/>
      </c>
    </row>
    <row r="17" spans="1:13" ht="25.5" customHeight="1" x14ac:dyDescent="0.25">
      <c r="A17" s="27" t="s">
        <v>133</v>
      </c>
      <c r="B17" s="47">
        <f>(1+B15)/(1+B14)-1</f>
        <v>1.4634146341463428E-2</v>
      </c>
      <c r="F17" s="37" t="s">
        <v>116</v>
      </c>
      <c r="G17" s="37"/>
      <c r="H17" s="38" t="s">
        <v>134</v>
      </c>
      <c r="I17" s="45" t="s">
        <v>122</v>
      </c>
      <c r="J17" s="38" t="s">
        <v>135</v>
      </c>
      <c r="K17" s="40" t="s">
        <v>136</v>
      </c>
      <c r="L17" s="40" t="s">
        <v>137</v>
      </c>
      <c r="M17" s="41" t="str">
        <f t="shared" si="0"/>
        <v/>
      </c>
    </row>
    <row r="18" spans="1:13" ht="25.5" customHeight="1" x14ac:dyDescent="0.25">
      <c r="A18" s="27" t="s">
        <v>138</v>
      </c>
      <c r="B18" s="47">
        <f>(1+B13)*(1+B17)-1</f>
        <v>0.11609756097560986</v>
      </c>
      <c r="F18" s="37" t="s">
        <v>116</v>
      </c>
      <c r="G18" s="37" t="s">
        <v>126</v>
      </c>
      <c r="H18" s="38" t="s">
        <v>134</v>
      </c>
      <c r="I18" s="45" t="s">
        <v>122</v>
      </c>
      <c r="J18" s="38" t="s">
        <v>135</v>
      </c>
      <c r="K18" s="40" t="s">
        <v>139</v>
      </c>
      <c r="L18" s="40" t="s">
        <v>140</v>
      </c>
      <c r="M18" s="41" t="str">
        <f t="shared" si="0"/>
        <v/>
      </c>
    </row>
    <row r="19" spans="1:13" ht="25.5" customHeight="1" x14ac:dyDescent="0.25">
      <c r="A19" s="27" t="s">
        <v>141</v>
      </c>
      <c r="B19" s="47">
        <f>IF(B8="Real",0,IF(B7="USD",B14,B15))</f>
        <v>2.5000000000000001E-2</v>
      </c>
      <c r="F19" s="37" t="s">
        <v>116</v>
      </c>
      <c r="G19" s="37" t="s">
        <v>142</v>
      </c>
      <c r="H19" s="38" t="s">
        <v>134</v>
      </c>
      <c r="I19" s="45" t="s">
        <v>122</v>
      </c>
      <c r="J19" s="38" t="s">
        <v>135</v>
      </c>
      <c r="K19" s="40"/>
      <c r="L19" s="40" t="s">
        <v>143</v>
      </c>
      <c r="M19" s="41" t="str">
        <f t="shared" si="0"/>
        <v>Revisar: el input no tiene fuente</v>
      </c>
    </row>
    <row r="20" spans="1:13" ht="25.5" customHeight="1" x14ac:dyDescent="0.25">
      <c r="A20" s="27" t="s">
        <v>144</v>
      </c>
      <c r="B20" s="47">
        <f>IF(B7="USD",B14,B15)</f>
        <v>2.5000000000000001E-2</v>
      </c>
      <c r="F20" s="37" t="s">
        <v>116</v>
      </c>
      <c r="G20" s="37" t="s">
        <v>142</v>
      </c>
      <c r="H20" s="38" t="s">
        <v>134</v>
      </c>
      <c r="I20" s="45" t="s">
        <v>122</v>
      </c>
      <c r="J20" s="38" t="s">
        <v>135</v>
      </c>
      <c r="K20" s="40"/>
      <c r="L20" s="40" t="s">
        <v>145</v>
      </c>
      <c r="M20" s="41" t="str">
        <f t="shared" si="0"/>
        <v>Revisar: el input no tiene fuente</v>
      </c>
    </row>
    <row r="21" spans="1:13" ht="25.5" customHeight="1" x14ac:dyDescent="0.25">
      <c r="A21" s="27" t="s">
        <v>146</v>
      </c>
      <c r="B21" s="48">
        <f>IF(B7="USD",1,B16)</f>
        <v>1</v>
      </c>
      <c r="F21" s="37" t="s">
        <v>147</v>
      </c>
      <c r="G21" s="37" t="s">
        <v>142</v>
      </c>
      <c r="H21" s="38" t="s">
        <v>134</v>
      </c>
      <c r="I21" s="45" t="s">
        <v>122</v>
      </c>
      <c r="J21" s="38" t="s">
        <v>135</v>
      </c>
      <c r="K21" s="40"/>
      <c r="L21" s="40" t="s">
        <v>148</v>
      </c>
      <c r="M21" s="41" t="str">
        <f t="shared" si="0"/>
        <v>Revisar: el input no tiene fuente</v>
      </c>
    </row>
    <row r="22" spans="1:13" ht="25.5" customHeight="1" x14ac:dyDescent="0.25">
      <c r="A22" s="27" t="s">
        <v>149</v>
      </c>
      <c r="B22" s="44">
        <v>0.35</v>
      </c>
      <c r="F22" s="37" t="s">
        <v>116</v>
      </c>
      <c r="G22" s="37"/>
      <c r="H22" s="38" t="s">
        <v>121</v>
      </c>
      <c r="I22" s="45" t="s">
        <v>122</v>
      </c>
      <c r="J22" s="38" t="s">
        <v>96</v>
      </c>
      <c r="K22" s="40" t="s">
        <v>150</v>
      </c>
      <c r="L22" s="40" t="s">
        <v>151</v>
      </c>
      <c r="M22" s="41" t="str">
        <f t="shared" si="0"/>
        <v/>
      </c>
    </row>
    <row r="23" spans="1:13" ht="25.5" customHeight="1" x14ac:dyDescent="0.25">
      <c r="A23" s="27" t="s">
        <v>152</v>
      </c>
      <c r="B23" s="44">
        <v>0.02</v>
      </c>
      <c r="F23" s="37" t="s">
        <v>116</v>
      </c>
      <c r="G23" s="37"/>
      <c r="H23" s="38" t="s">
        <v>111</v>
      </c>
      <c r="I23" s="43" t="s">
        <v>112</v>
      </c>
      <c r="J23" s="38" t="s">
        <v>96</v>
      </c>
      <c r="K23" s="40" t="s">
        <v>153</v>
      </c>
      <c r="L23" s="40" t="s">
        <v>154</v>
      </c>
      <c r="M23" s="41" t="str">
        <f t="shared" si="0"/>
        <v>ILUSTRATIVO — no apto p/ decisión real</v>
      </c>
    </row>
    <row r="24" spans="1:13" ht="25.5" customHeight="1" x14ac:dyDescent="0.25">
      <c r="A24" s="27" t="s">
        <v>155</v>
      </c>
      <c r="B24" s="47">
        <f>(1+B23)*(1+B19)-1</f>
        <v>4.5499999999999874E-2</v>
      </c>
      <c r="F24" s="37" t="s">
        <v>116</v>
      </c>
      <c r="G24" s="37" t="s">
        <v>142</v>
      </c>
      <c r="H24" s="38" t="s">
        <v>134</v>
      </c>
      <c r="I24" s="45" t="s">
        <v>122</v>
      </c>
      <c r="J24" s="38" t="s">
        <v>135</v>
      </c>
      <c r="K24" s="40" t="s">
        <v>156</v>
      </c>
      <c r="L24" s="40" t="s">
        <v>157</v>
      </c>
      <c r="M24" s="41" t="str">
        <f t="shared" si="0"/>
        <v/>
      </c>
    </row>
    <row r="25" spans="1:13" ht="25.5" customHeight="1" x14ac:dyDescent="0.25">
      <c r="A25" s="27" t="s">
        <v>158</v>
      </c>
      <c r="B25" s="44">
        <v>0.1</v>
      </c>
      <c r="F25" s="37" t="s">
        <v>116</v>
      </c>
      <c r="G25" s="37"/>
      <c r="H25" s="38" t="s">
        <v>111</v>
      </c>
      <c r="I25" s="43" t="s">
        <v>112</v>
      </c>
      <c r="J25" s="38" t="s">
        <v>96</v>
      </c>
      <c r="K25" s="40" t="s">
        <v>159</v>
      </c>
      <c r="L25" s="40" t="s">
        <v>160</v>
      </c>
      <c r="M25" s="41" t="str">
        <f t="shared" si="0"/>
        <v>ILUSTRATIVO — no apto p/ decisión real</v>
      </c>
    </row>
    <row r="26" spans="1:13" ht="25.5" customHeight="1" x14ac:dyDescent="0.25">
      <c r="A26" s="27" t="s">
        <v>161</v>
      </c>
      <c r="B26" s="44">
        <v>0.03</v>
      </c>
      <c r="F26" s="37" t="s">
        <v>116</v>
      </c>
      <c r="G26" s="37"/>
      <c r="H26" s="38" t="s">
        <v>117</v>
      </c>
      <c r="I26" s="43" t="s">
        <v>112</v>
      </c>
      <c r="J26" s="38" t="s">
        <v>96</v>
      </c>
      <c r="K26" s="40" t="s">
        <v>162</v>
      </c>
      <c r="L26" s="40" t="s">
        <v>163</v>
      </c>
      <c r="M26" s="41" t="str">
        <f t="shared" si="0"/>
        <v/>
      </c>
    </row>
    <row r="27" spans="1:13" ht="25.5" customHeight="1" x14ac:dyDescent="0.25">
      <c r="A27" s="27" t="s">
        <v>164</v>
      </c>
      <c r="B27" s="44">
        <v>0.02</v>
      </c>
      <c r="F27" s="37" t="s">
        <v>116</v>
      </c>
      <c r="G27" s="37"/>
      <c r="H27" s="38" t="s">
        <v>111</v>
      </c>
      <c r="I27" s="43" t="s">
        <v>112</v>
      </c>
      <c r="J27" s="38" t="s">
        <v>96</v>
      </c>
      <c r="K27" s="40" t="s">
        <v>153</v>
      </c>
      <c r="L27" s="40" t="s">
        <v>165</v>
      </c>
      <c r="M27" s="41" t="str">
        <f>IF(B27&gt;=MIN(C71:E71),"Alerta: WACC menor o igual al crecimiento terminal — TV inválido","OK: WACC &gt; g terminal")</f>
        <v>OK: WACC &gt; g terminal</v>
      </c>
    </row>
    <row r="28" spans="1:13" ht="25.5" customHeight="1" x14ac:dyDescent="0.25">
      <c r="A28" s="27" t="s">
        <v>166</v>
      </c>
      <c r="B28" s="49" t="str">
        <f>IF(OR(B7="USD",B7="COP"),"OK — flujos privados nominales / WACC nominal en "&amp;B7,"ERROR — bases inconsistentes")</f>
        <v>OK — flujos privados nominales / WACC nominal en USD</v>
      </c>
      <c r="F28" s="37" t="s">
        <v>167</v>
      </c>
      <c r="G28" s="37"/>
      <c r="H28" s="38" t="s">
        <v>168</v>
      </c>
      <c r="I28" s="39"/>
      <c r="J28" s="38" t="s">
        <v>135</v>
      </c>
      <c r="K28" s="40"/>
      <c r="L28" s="40" t="s">
        <v>169</v>
      </c>
      <c r="M28" s="41" t="str">
        <f>IF(H28="Pedagógico","ILUSTRATIVO — no apto p/ decisión real",IF(H28="Simulado","NO VERIFICABLE — requiere validación técnica",IF(K28="","Revisar: el input no tiene fuente","")))</f>
        <v>Revisar: el input no tiene fuente</v>
      </c>
    </row>
    <row r="29" spans="1:13" ht="25.5" customHeight="1" x14ac:dyDescent="0.25">
      <c r="A29" s="27" t="s">
        <v>170</v>
      </c>
      <c r="B29" s="49" t="str">
        <f>"OK — flujos sociales reales / tasa social real (ΔOPEX social deflactado)"</f>
        <v>OK — flujos sociales reales / tasa social real (ΔOPEX social deflactado)</v>
      </c>
      <c r="F29" s="37" t="s">
        <v>167</v>
      </c>
      <c r="G29" s="37"/>
      <c r="H29" s="38" t="s">
        <v>168</v>
      </c>
      <c r="I29" s="39"/>
      <c r="J29" s="38" t="s">
        <v>135</v>
      </c>
      <c r="K29" s="40"/>
      <c r="L29" s="40" t="s">
        <v>171</v>
      </c>
      <c r="M29" s="41" t="str">
        <f>IF(H29="Pedagógico","ILUSTRATIVO — no apto p/ decisión real",IF(H29="Simulado","NO VERIFICABLE — requiere validación técnica",IF(K29="","Revisar: el input no tiene fuente","")))</f>
        <v>Revisar: el input no tiene fuente</v>
      </c>
    </row>
    <row r="31" spans="1:13" ht="19.5" customHeight="1" x14ac:dyDescent="0.2">
      <c r="A31" s="8" t="s">
        <v>172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ht="25.5" customHeight="1" x14ac:dyDescent="0.25">
      <c r="A32" s="27" t="s">
        <v>173</v>
      </c>
      <c r="B32" s="50">
        <v>100000000</v>
      </c>
      <c r="F32" s="37" t="s">
        <v>174</v>
      </c>
      <c r="G32" s="37" t="s">
        <v>93</v>
      </c>
      <c r="H32" s="38" t="s">
        <v>121</v>
      </c>
      <c r="I32" s="45" t="s">
        <v>122</v>
      </c>
      <c r="J32" s="38" t="s">
        <v>96</v>
      </c>
      <c r="K32" s="40" t="s">
        <v>175</v>
      </c>
      <c r="L32" s="40" t="s">
        <v>176</v>
      </c>
      <c r="M32" s="41" t="str">
        <f t="shared" ref="M32:M40" si="1">IF(H32="Pedagógico","ILUSTRATIVO — no apto p/ decisión real",IF(H32="Simulado","NO VERIFICABLE — requiere validación técnica",IF(K32="","Revisar: el input no tiene fuente","")))</f>
        <v/>
      </c>
    </row>
    <row r="33" spans="1:13" ht="25.5" customHeight="1" x14ac:dyDescent="0.25">
      <c r="A33" s="27" t="s">
        <v>177</v>
      </c>
      <c r="B33" s="51">
        <v>11</v>
      </c>
      <c r="F33" s="37" t="s">
        <v>178</v>
      </c>
      <c r="G33" s="37" t="s">
        <v>93</v>
      </c>
      <c r="H33" s="38" t="s">
        <v>121</v>
      </c>
      <c r="I33" s="45" t="s">
        <v>122</v>
      </c>
      <c r="J33" s="38" t="s">
        <v>96</v>
      </c>
      <c r="K33" s="40" t="s">
        <v>179</v>
      </c>
      <c r="L33" s="40" t="s">
        <v>180</v>
      </c>
      <c r="M33" s="41" t="str">
        <f t="shared" si="1"/>
        <v/>
      </c>
    </row>
    <row r="34" spans="1:13" ht="25.5" customHeight="1" x14ac:dyDescent="0.25">
      <c r="A34" s="27" t="s">
        <v>181</v>
      </c>
      <c r="B34" s="46">
        <v>2016</v>
      </c>
      <c r="F34" s="37" t="s">
        <v>182</v>
      </c>
      <c r="G34" s="37"/>
      <c r="H34" s="38" t="s">
        <v>121</v>
      </c>
      <c r="I34" s="45" t="s">
        <v>122</v>
      </c>
      <c r="J34" s="38" t="s">
        <v>96</v>
      </c>
      <c r="K34" s="40" t="s">
        <v>183</v>
      </c>
      <c r="L34" s="40"/>
      <c r="M34" s="41" t="str">
        <f t="shared" si="1"/>
        <v/>
      </c>
    </row>
    <row r="35" spans="1:13" ht="25.5" customHeight="1" x14ac:dyDescent="0.25">
      <c r="A35" s="27" t="s">
        <v>184</v>
      </c>
      <c r="B35" s="50">
        <v>45500000</v>
      </c>
      <c r="F35" s="37" t="s">
        <v>174</v>
      </c>
      <c r="G35" s="37" t="s">
        <v>93</v>
      </c>
      <c r="H35" s="38" t="s">
        <v>121</v>
      </c>
      <c r="I35" s="45" t="s">
        <v>122</v>
      </c>
      <c r="J35" s="38" t="s">
        <v>96</v>
      </c>
      <c r="K35" s="40" t="s">
        <v>153</v>
      </c>
      <c r="L35" s="40" t="s">
        <v>185</v>
      </c>
      <c r="M35" s="41" t="str">
        <f t="shared" si="1"/>
        <v/>
      </c>
    </row>
    <row r="36" spans="1:13" ht="25.5" customHeight="1" x14ac:dyDescent="0.25">
      <c r="A36" s="27" t="s">
        <v>186</v>
      </c>
      <c r="B36" s="50">
        <v>1000000</v>
      </c>
      <c r="F36" s="37" t="s">
        <v>174</v>
      </c>
      <c r="G36" s="37" t="s">
        <v>93</v>
      </c>
      <c r="H36" s="38" t="s">
        <v>121</v>
      </c>
      <c r="I36" s="43" t="s">
        <v>112</v>
      </c>
      <c r="J36" s="38" t="s">
        <v>96</v>
      </c>
      <c r="K36" s="40" t="s">
        <v>187</v>
      </c>
      <c r="L36" s="40"/>
      <c r="M36" s="41" t="str">
        <f t="shared" si="1"/>
        <v/>
      </c>
    </row>
    <row r="37" spans="1:13" ht="25.5" customHeight="1" x14ac:dyDescent="0.25">
      <c r="A37" s="27" t="s">
        <v>188</v>
      </c>
      <c r="B37" s="50">
        <v>11200000</v>
      </c>
      <c r="F37" s="37" t="s">
        <v>174</v>
      </c>
      <c r="G37" s="37" t="s">
        <v>93</v>
      </c>
      <c r="H37" s="38" t="s">
        <v>121</v>
      </c>
      <c r="I37" s="45" t="s">
        <v>122</v>
      </c>
      <c r="J37" s="38" t="s">
        <v>96</v>
      </c>
      <c r="K37" s="40" t="s">
        <v>153</v>
      </c>
      <c r="L37" s="40"/>
      <c r="M37" s="41" t="str">
        <f t="shared" si="1"/>
        <v/>
      </c>
    </row>
    <row r="38" spans="1:13" ht="25.5" customHeight="1" x14ac:dyDescent="0.25">
      <c r="A38" s="27" t="s">
        <v>189</v>
      </c>
      <c r="B38" s="50">
        <v>1500000</v>
      </c>
      <c r="F38" s="37" t="s">
        <v>174</v>
      </c>
      <c r="G38" s="37" t="s">
        <v>93</v>
      </c>
      <c r="H38" s="38" t="s">
        <v>121</v>
      </c>
      <c r="I38" s="43" t="s">
        <v>112</v>
      </c>
      <c r="J38" s="38" t="s">
        <v>96</v>
      </c>
      <c r="K38" s="40" t="s">
        <v>153</v>
      </c>
      <c r="L38" s="40" t="s">
        <v>190</v>
      </c>
      <c r="M38" s="41" t="str">
        <f t="shared" si="1"/>
        <v/>
      </c>
    </row>
    <row r="39" spans="1:13" ht="25.5" customHeight="1" x14ac:dyDescent="0.25">
      <c r="A39" s="27" t="s">
        <v>191</v>
      </c>
      <c r="B39" s="52">
        <f>B32-B45*B33*B34-B35-B36-B37-B38</f>
        <v>23059200</v>
      </c>
      <c r="F39" s="37" t="s">
        <v>174</v>
      </c>
      <c r="G39" s="37" t="s">
        <v>142</v>
      </c>
      <c r="H39" s="38" t="s">
        <v>134</v>
      </c>
      <c r="I39" s="45" t="s">
        <v>122</v>
      </c>
      <c r="J39" s="38" t="s">
        <v>135</v>
      </c>
      <c r="K39" s="40" t="s">
        <v>192</v>
      </c>
      <c r="L39" s="40" t="s">
        <v>193</v>
      </c>
      <c r="M39" s="41" t="str">
        <f t="shared" si="1"/>
        <v/>
      </c>
    </row>
    <row r="40" spans="1:13" ht="25.5" customHeight="1" x14ac:dyDescent="0.25">
      <c r="A40" s="27" t="s">
        <v>194</v>
      </c>
      <c r="B40" s="44">
        <v>0.4</v>
      </c>
      <c r="F40" s="37" t="s">
        <v>116</v>
      </c>
      <c r="G40" s="37"/>
      <c r="H40" s="38" t="s">
        <v>111</v>
      </c>
      <c r="I40" s="43" t="s">
        <v>112</v>
      </c>
      <c r="J40" s="38" t="s">
        <v>96</v>
      </c>
      <c r="K40" s="40" t="s">
        <v>195</v>
      </c>
      <c r="L40" s="40" t="s">
        <v>196</v>
      </c>
      <c r="M40" s="41" t="str">
        <f t="shared" si="1"/>
        <v>ILUSTRATIVO — no apto p/ decisión real</v>
      </c>
    </row>
    <row r="42" spans="1:13" ht="19.5" customHeight="1" x14ac:dyDescent="0.2">
      <c r="A42" s="8" t="s">
        <v>197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ht="15" customHeight="1" x14ac:dyDescent="0.25">
      <c r="A43" s="53" t="s">
        <v>198</v>
      </c>
      <c r="B43" s="54" t="s">
        <v>199</v>
      </c>
      <c r="C43" s="54" t="s">
        <v>200</v>
      </c>
      <c r="D43" s="54" t="s">
        <v>201</v>
      </c>
      <c r="E43" s="54" t="s">
        <v>202</v>
      </c>
      <c r="K43" s="53" t="s">
        <v>203</v>
      </c>
      <c r="L43" s="53" t="s">
        <v>204</v>
      </c>
    </row>
    <row r="44" spans="1:13" ht="24" customHeight="1" x14ac:dyDescent="0.25">
      <c r="A44" s="27" t="s">
        <v>205</v>
      </c>
      <c r="B44" s="50">
        <v>0</v>
      </c>
      <c r="C44" s="50">
        <v>19099017</v>
      </c>
      <c r="D44" s="50">
        <v>86675016</v>
      </c>
      <c r="E44" s="50">
        <v>116435856</v>
      </c>
      <c r="K44" s="40" t="s">
        <v>206</v>
      </c>
      <c r="L44" s="40" t="s">
        <v>207</v>
      </c>
    </row>
    <row r="45" spans="1:13" ht="24" customHeight="1" x14ac:dyDescent="0.25">
      <c r="A45" s="27" t="s">
        <v>208</v>
      </c>
      <c r="B45" s="46">
        <v>800</v>
      </c>
      <c r="C45" s="46">
        <v>800</v>
      </c>
      <c r="D45" s="46">
        <v>700</v>
      </c>
      <c r="E45" s="46">
        <v>600</v>
      </c>
      <c r="K45" s="40" t="s">
        <v>209</v>
      </c>
      <c r="L45" s="40" t="s">
        <v>210</v>
      </c>
    </row>
    <row r="46" spans="1:13" ht="24" customHeight="1" x14ac:dyDescent="0.25">
      <c r="A46" s="27" t="s">
        <v>211</v>
      </c>
      <c r="B46" s="50">
        <v>0</v>
      </c>
      <c r="C46" s="50">
        <v>1500000</v>
      </c>
      <c r="D46" s="50">
        <v>6500000</v>
      </c>
      <c r="E46" s="50">
        <v>9500000</v>
      </c>
      <c r="K46" s="40" t="s">
        <v>206</v>
      </c>
      <c r="L46" s="40" t="s">
        <v>212</v>
      </c>
    </row>
    <row r="47" spans="1:13" ht="24" customHeight="1" x14ac:dyDescent="0.25">
      <c r="A47" s="27" t="s">
        <v>213</v>
      </c>
      <c r="B47" s="55">
        <v>7</v>
      </c>
      <c r="C47" s="55">
        <v>5.4</v>
      </c>
      <c r="D47" s="55">
        <v>3</v>
      </c>
      <c r="E47" s="55">
        <v>0.5</v>
      </c>
      <c r="K47" s="40" t="s">
        <v>214</v>
      </c>
      <c r="L47" s="40" t="s">
        <v>215</v>
      </c>
    </row>
    <row r="48" spans="1:13" ht="24" customHeight="1" x14ac:dyDescent="0.25">
      <c r="A48" s="27" t="s">
        <v>216</v>
      </c>
      <c r="B48" s="46">
        <v>0</v>
      </c>
      <c r="C48" s="46">
        <v>60000</v>
      </c>
      <c r="D48" s="46">
        <v>150000</v>
      </c>
      <c r="E48" s="46">
        <v>245000</v>
      </c>
      <c r="K48" s="40" t="s">
        <v>217</v>
      </c>
      <c r="L48" s="40" t="s">
        <v>218</v>
      </c>
    </row>
    <row r="49" spans="1:13" ht="24" customHeight="1" x14ac:dyDescent="0.25">
      <c r="A49" s="27" t="s">
        <v>219</v>
      </c>
      <c r="B49" s="48">
        <v>0</v>
      </c>
      <c r="C49" s="48">
        <f>MAX(0,$B$45-C45)</f>
        <v>0</v>
      </c>
      <c r="D49" s="48">
        <f>MAX(0,$B$45-D45)</f>
        <v>100</v>
      </c>
      <c r="E49" s="48">
        <f>MAX(0,$B$45-E45)</f>
        <v>200</v>
      </c>
      <c r="K49" s="40" t="s">
        <v>220</v>
      </c>
      <c r="L49" s="40" t="s">
        <v>221</v>
      </c>
    </row>
    <row r="51" spans="1:13" ht="19.5" customHeight="1" x14ac:dyDescent="0.2">
      <c r="A51" s="8" t="s">
        <v>222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13" ht="25.5" customHeight="1" x14ac:dyDescent="0.25">
      <c r="A52" s="27" t="s">
        <v>223</v>
      </c>
      <c r="B52" s="44">
        <v>0.95</v>
      </c>
      <c r="F52" s="37" t="s">
        <v>224</v>
      </c>
      <c r="G52" s="37"/>
      <c r="H52" s="38" t="s">
        <v>111</v>
      </c>
      <c r="I52" s="56" t="s">
        <v>225</v>
      </c>
      <c r="J52" s="38" t="s">
        <v>96</v>
      </c>
      <c r="K52" s="40" t="s">
        <v>226</v>
      </c>
      <c r="L52" s="40" t="s">
        <v>227</v>
      </c>
      <c r="M52" s="41" t="str">
        <f t="shared" ref="M52:M58" si="2">IF(H52="Pedagógico","ILUSTRATIVO — no apto p/ decisión real",IF(H52="Simulado","NO VERIFICABLE — requiere validación técnica",IF(K52="","Revisar: el input no tiene fuente","")))</f>
        <v>ILUSTRATIVO — no apto p/ decisión real</v>
      </c>
    </row>
    <row r="53" spans="1:13" ht="25.5" customHeight="1" x14ac:dyDescent="0.25">
      <c r="A53" s="27" t="s">
        <v>228</v>
      </c>
      <c r="B53" s="50">
        <v>8000000</v>
      </c>
      <c r="F53" s="37" t="s">
        <v>174</v>
      </c>
      <c r="G53" s="37" t="s">
        <v>93</v>
      </c>
      <c r="H53" s="38" t="s">
        <v>111</v>
      </c>
      <c r="I53" s="56" t="s">
        <v>225</v>
      </c>
      <c r="J53" s="38" t="s">
        <v>96</v>
      </c>
      <c r="K53" s="40" t="s">
        <v>153</v>
      </c>
      <c r="L53" s="40" t="s">
        <v>229</v>
      </c>
      <c r="M53" s="41" t="str">
        <f t="shared" si="2"/>
        <v>ILUSTRATIVO — no apto p/ decisión real</v>
      </c>
    </row>
    <row r="54" spans="1:13" ht="25.5" customHeight="1" x14ac:dyDescent="0.25">
      <c r="A54" s="27" t="s">
        <v>230</v>
      </c>
      <c r="B54" s="42">
        <v>3</v>
      </c>
      <c r="F54" s="37" t="s">
        <v>231</v>
      </c>
      <c r="G54" s="37"/>
      <c r="H54" s="38" t="s">
        <v>111</v>
      </c>
      <c r="I54" s="56" t="s">
        <v>225</v>
      </c>
      <c r="J54" s="38" t="s">
        <v>96</v>
      </c>
      <c r="K54" s="40" t="s">
        <v>153</v>
      </c>
      <c r="L54" s="40" t="s">
        <v>232</v>
      </c>
      <c r="M54" s="41" t="str">
        <f t="shared" si="2"/>
        <v>ILUSTRATIVO — no apto p/ decisión real</v>
      </c>
    </row>
    <row r="55" spans="1:13" ht="25.5" customHeight="1" x14ac:dyDescent="0.25">
      <c r="A55" s="27" t="s">
        <v>233</v>
      </c>
      <c r="B55" s="50">
        <v>500000</v>
      </c>
      <c r="F55" s="37" t="s">
        <v>174</v>
      </c>
      <c r="G55" s="37" t="s">
        <v>93</v>
      </c>
      <c r="H55" s="38" t="s">
        <v>111</v>
      </c>
      <c r="I55" s="56" t="s">
        <v>225</v>
      </c>
      <c r="J55" s="38" t="s">
        <v>96</v>
      </c>
      <c r="K55" s="40" t="s">
        <v>234</v>
      </c>
      <c r="L55" s="40" t="s">
        <v>235</v>
      </c>
      <c r="M55" s="41" t="str">
        <f t="shared" si="2"/>
        <v>ILUSTRATIVO — no apto p/ decisión real</v>
      </c>
    </row>
    <row r="56" spans="1:13" ht="25.5" customHeight="1" x14ac:dyDescent="0.25">
      <c r="A56" s="27" t="s">
        <v>236</v>
      </c>
      <c r="B56" s="44">
        <v>0.5</v>
      </c>
      <c r="F56" s="37" t="s">
        <v>224</v>
      </c>
      <c r="G56" s="37"/>
      <c r="H56" s="38" t="s">
        <v>111</v>
      </c>
      <c r="I56" s="56" t="s">
        <v>225</v>
      </c>
      <c r="J56" s="38" t="s">
        <v>96</v>
      </c>
      <c r="K56" s="40"/>
      <c r="L56" s="40" t="s">
        <v>237</v>
      </c>
      <c r="M56" s="41" t="str">
        <f t="shared" si="2"/>
        <v>ILUSTRATIVO — no apto p/ decisión real</v>
      </c>
    </row>
    <row r="57" spans="1:13" ht="25.5" customHeight="1" x14ac:dyDescent="0.25">
      <c r="A57" s="27" t="s">
        <v>238</v>
      </c>
      <c r="B57" s="50">
        <v>5000000</v>
      </c>
      <c r="F57" s="37" t="s">
        <v>174</v>
      </c>
      <c r="G57" s="37" t="s">
        <v>93</v>
      </c>
      <c r="H57" s="38" t="s">
        <v>111</v>
      </c>
      <c r="I57" s="56" t="s">
        <v>225</v>
      </c>
      <c r="J57" s="38" t="s">
        <v>96</v>
      </c>
      <c r="K57" s="40" t="s">
        <v>195</v>
      </c>
      <c r="L57" s="40"/>
      <c r="M57" s="41" t="str">
        <f t="shared" si="2"/>
        <v>ILUSTRATIVO — no apto p/ decisión real</v>
      </c>
    </row>
    <row r="58" spans="1:13" ht="25.5" customHeight="1" x14ac:dyDescent="0.25">
      <c r="A58" s="27" t="s">
        <v>239</v>
      </c>
      <c r="B58" s="42">
        <v>5</v>
      </c>
      <c r="F58" s="37" t="s">
        <v>110</v>
      </c>
      <c r="G58" s="37"/>
      <c r="H58" s="38" t="s">
        <v>111</v>
      </c>
      <c r="I58" s="56" t="s">
        <v>225</v>
      </c>
      <c r="J58" s="38" t="s">
        <v>96</v>
      </c>
      <c r="K58" s="40" t="s">
        <v>195</v>
      </c>
      <c r="L58" s="40"/>
      <c r="M58" s="41" t="str">
        <f t="shared" si="2"/>
        <v>ILUSTRATIVO — no apto p/ decisión real</v>
      </c>
    </row>
    <row r="60" spans="1:13" ht="19.5" customHeight="1" x14ac:dyDescent="0.2">
      <c r="A60" s="8" t="s">
        <v>240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ht="25.5" customHeight="1" x14ac:dyDescent="0.25">
      <c r="A61" s="27" t="s">
        <v>241</v>
      </c>
      <c r="B61" s="50">
        <v>75</v>
      </c>
      <c r="F61" s="37" t="s">
        <v>242</v>
      </c>
      <c r="G61" s="37" t="s">
        <v>93</v>
      </c>
      <c r="H61" s="38" t="s">
        <v>117</v>
      </c>
      <c r="I61" s="43" t="s">
        <v>112</v>
      </c>
      <c r="J61" s="38" t="s">
        <v>96</v>
      </c>
      <c r="K61" s="40" t="s">
        <v>243</v>
      </c>
      <c r="L61" s="40" t="s">
        <v>244</v>
      </c>
      <c r="M61" s="41" t="str">
        <f t="shared" ref="M61:M66" si="3">IF(H61="Pedagógico","ILUSTRATIVO — no apto p/ decisión real",IF(H61="Simulado","NO VERIFICABLE — requiere validación técnica",IF(K61="","Revisar: el input no tiene fuente","")))</f>
        <v/>
      </c>
    </row>
    <row r="62" spans="1:13" ht="25.5" customHeight="1" x14ac:dyDescent="0.25">
      <c r="A62" s="27" t="s">
        <v>245</v>
      </c>
      <c r="B62" s="50">
        <v>25</v>
      </c>
      <c r="F62" s="37" t="s">
        <v>242</v>
      </c>
      <c r="G62" s="37" t="s">
        <v>93</v>
      </c>
      <c r="H62" s="38" t="s">
        <v>117</v>
      </c>
      <c r="I62" s="56" t="s">
        <v>225</v>
      </c>
      <c r="J62" s="38" t="s">
        <v>96</v>
      </c>
      <c r="K62" s="40" t="s">
        <v>246</v>
      </c>
      <c r="L62" s="40" t="s">
        <v>247</v>
      </c>
      <c r="M62" s="41" t="str">
        <f t="shared" si="3"/>
        <v/>
      </c>
    </row>
    <row r="63" spans="1:13" ht="25.5" customHeight="1" x14ac:dyDescent="0.25">
      <c r="A63" s="27" t="s">
        <v>248</v>
      </c>
      <c r="B63" s="44">
        <v>0.5</v>
      </c>
      <c r="F63" s="37" t="s">
        <v>224</v>
      </c>
      <c r="G63" s="37"/>
      <c r="H63" s="38" t="s">
        <v>111</v>
      </c>
      <c r="I63" s="56" t="s">
        <v>225</v>
      </c>
      <c r="J63" s="38" t="s">
        <v>96</v>
      </c>
      <c r="K63" s="40"/>
      <c r="L63" s="40" t="s">
        <v>249</v>
      </c>
      <c r="M63" s="41" t="str">
        <f t="shared" si="3"/>
        <v>ILUSTRATIVO — no apto p/ decisión real</v>
      </c>
    </row>
    <row r="64" spans="1:13" ht="25.5" customHeight="1" x14ac:dyDescent="0.25">
      <c r="A64" s="27" t="s">
        <v>250</v>
      </c>
      <c r="B64" s="50">
        <v>10</v>
      </c>
      <c r="F64" s="37" t="s">
        <v>242</v>
      </c>
      <c r="G64" s="37" t="s">
        <v>93</v>
      </c>
      <c r="H64" s="38" t="s">
        <v>117</v>
      </c>
      <c r="I64" s="56" t="s">
        <v>225</v>
      </c>
      <c r="J64" s="38" t="s">
        <v>96</v>
      </c>
      <c r="K64" s="40" t="s">
        <v>251</v>
      </c>
      <c r="L64" s="40" t="s">
        <v>252</v>
      </c>
      <c r="M64" s="41" t="str">
        <f t="shared" si="3"/>
        <v/>
      </c>
    </row>
    <row r="65" spans="1:13" ht="25.5" customHeight="1" x14ac:dyDescent="0.25">
      <c r="A65" s="27" t="s">
        <v>253</v>
      </c>
      <c r="B65" s="44">
        <v>0.3</v>
      </c>
      <c r="F65" s="37" t="s">
        <v>116</v>
      </c>
      <c r="G65" s="37"/>
      <c r="H65" s="38" t="s">
        <v>111</v>
      </c>
      <c r="I65" s="56" t="s">
        <v>225</v>
      </c>
      <c r="J65" s="38" t="s">
        <v>96</v>
      </c>
      <c r="K65" s="40" t="s">
        <v>254</v>
      </c>
      <c r="L65" s="40" t="s">
        <v>255</v>
      </c>
      <c r="M65" s="41" t="str">
        <f t="shared" si="3"/>
        <v>ILUSTRATIVO — no apto p/ decisión real</v>
      </c>
    </row>
    <row r="66" spans="1:13" ht="25.5" customHeight="1" x14ac:dyDescent="0.25">
      <c r="A66" s="27" t="s">
        <v>256</v>
      </c>
      <c r="B66" s="50">
        <v>50000</v>
      </c>
      <c r="F66" s="37" t="s">
        <v>174</v>
      </c>
      <c r="G66" s="37" t="s">
        <v>93</v>
      </c>
      <c r="H66" s="38" t="s">
        <v>111</v>
      </c>
      <c r="I66" s="56" t="s">
        <v>225</v>
      </c>
      <c r="J66" s="38" t="s">
        <v>96</v>
      </c>
      <c r="K66" s="40" t="s">
        <v>257</v>
      </c>
      <c r="L66" s="40" t="s">
        <v>258</v>
      </c>
      <c r="M66" s="41" t="str">
        <f t="shared" si="3"/>
        <v>ILUSTRATIVO — no apto p/ decisión real</v>
      </c>
    </row>
    <row r="67" spans="1:13" ht="24" customHeight="1" x14ac:dyDescent="0.25">
      <c r="A67" s="27" t="s">
        <v>259</v>
      </c>
      <c r="C67" s="42">
        <v>0</v>
      </c>
      <c r="D67" s="42">
        <v>1</v>
      </c>
      <c r="E67" s="42">
        <v>1</v>
      </c>
      <c r="K67" s="40" t="s">
        <v>260</v>
      </c>
      <c r="L67" s="40" t="s">
        <v>261</v>
      </c>
    </row>
    <row r="68" spans="1:13" ht="24" customHeight="1" x14ac:dyDescent="0.25">
      <c r="A68" s="27" t="s">
        <v>262</v>
      </c>
      <c r="C68" s="57">
        <v>2.5000000000000001E-3</v>
      </c>
      <c r="D68" s="57">
        <v>2.5000000000000001E-3</v>
      </c>
      <c r="E68" s="57">
        <v>5.0000000000000001E-3</v>
      </c>
      <c r="K68" s="40" t="s">
        <v>263</v>
      </c>
      <c r="L68" s="40" t="s">
        <v>264</v>
      </c>
    </row>
    <row r="69" spans="1:13" ht="24" customHeight="1" x14ac:dyDescent="0.25">
      <c r="A69" s="27" t="s">
        <v>265</v>
      </c>
      <c r="C69" s="50">
        <v>0</v>
      </c>
      <c r="D69" s="50">
        <v>100000</v>
      </c>
      <c r="E69" s="50">
        <v>150000</v>
      </c>
      <c r="K69" s="40" t="s">
        <v>266</v>
      </c>
      <c r="L69" s="40" t="s">
        <v>267</v>
      </c>
    </row>
    <row r="70" spans="1:13" ht="25.5" customHeight="1" x14ac:dyDescent="0.25">
      <c r="A70" s="27" t="s">
        <v>268</v>
      </c>
      <c r="B70" s="44">
        <v>0.4</v>
      </c>
      <c r="F70" s="37" t="s">
        <v>116</v>
      </c>
      <c r="G70" s="37"/>
      <c r="H70" s="38" t="s">
        <v>111</v>
      </c>
      <c r="I70" s="43" t="s">
        <v>112</v>
      </c>
      <c r="J70" s="38" t="s">
        <v>96</v>
      </c>
      <c r="K70" s="40" t="s">
        <v>269</v>
      </c>
      <c r="L70" s="40" t="s">
        <v>270</v>
      </c>
      <c r="M70" s="41" t="str">
        <f>IF(H70="Pedagógico","ILUSTRATIVO — no apto p/ decisión real",IF(H70="Simulado","NO VERIFICABLE — requiere validación técnica",IF(K70="","Revisar: el input no tiene fuente","")))</f>
        <v>ILUSTRATIVO — no apto p/ decisión real</v>
      </c>
    </row>
    <row r="71" spans="1:13" ht="24" customHeight="1" x14ac:dyDescent="0.25">
      <c r="A71" s="27" t="s">
        <v>271</v>
      </c>
      <c r="C71" s="58">
        <f>IF($B$7="USD",$B$13,$B$18)-C67*$B$70*(1-$B$22)*C68</f>
        <v>0.1</v>
      </c>
      <c r="D71" s="58">
        <f>IF($B$7="USD",$B$13,$B$18)-D67*$B$70*(1-$B$22)*D68</f>
        <v>9.9350000000000008E-2</v>
      </c>
      <c r="E71" s="58">
        <f>IF($B$7="USD",$B$13,$B$18)-E67*$B$70*(1-$B$22)*E68</f>
        <v>9.870000000000001E-2</v>
      </c>
      <c r="K71" s="40" t="s">
        <v>220</v>
      </c>
      <c r="L71" s="40" t="s">
        <v>272</v>
      </c>
    </row>
    <row r="72" spans="1:13" ht="24" customHeight="1" x14ac:dyDescent="0.25">
      <c r="A72" s="27" t="s">
        <v>273</v>
      </c>
      <c r="C72" s="58">
        <f>IF($B$8="Real",(1+C71)/(1+$B$20)-1,C71)</f>
        <v>0.1</v>
      </c>
      <c r="D72" s="58">
        <f>IF($B$8="Real",(1+D71)/(1+$B$20)-1,D71)</f>
        <v>9.9350000000000008E-2</v>
      </c>
      <c r="E72" s="58">
        <f>IF($B$8="Real",(1+E71)/(1+$B$20)-1,E71)</f>
        <v>9.870000000000001E-2</v>
      </c>
      <c r="K72" s="40" t="s">
        <v>274</v>
      </c>
      <c r="L72" s="40" t="s">
        <v>275</v>
      </c>
    </row>
    <row r="74" spans="1:13" ht="19.5" customHeight="1" x14ac:dyDescent="0.2">
      <c r="A74" s="8" t="s">
        <v>276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13" ht="25.5" customHeight="1" x14ac:dyDescent="0.25">
      <c r="A75" s="27" t="s">
        <v>277</v>
      </c>
      <c r="B75" s="50">
        <v>3000000</v>
      </c>
      <c r="F75" s="37" t="s">
        <v>278</v>
      </c>
      <c r="G75" s="37" t="s">
        <v>93</v>
      </c>
      <c r="H75" s="38" t="s">
        <v>279</v>
      </c>
      <c r="I75" s="56" t="s">
        <v>225</v>
      </c>
      <c r="J75" s="38" t="s">
        <v>96</v>
      </c>
      <c r="K75" s="40" t="s">
        <v>280</v>
      </c>
      <c r="L75" s="40" t="s">
        <v>281</v>
      </c>
      <c r="M75" s="41" t="str">
        <f>IF(H75="Pedagógico","ILUSTRATIVO — no apto p/ decisión real",IF(H75="Simulado","NO VERIFICABLE — requiere validación técnica",IF(K75="","Revisar: el input no tiene fuente","")))</f>
        <v>NO VERIFICABLE — requiere validación técnica</v>
      </c>
    </row>
    <row r="76" spans="1:13" ht="25.5" customHeight="1" x14ac:dyDescent="0.25">
      <c r="A76" s="27" t="s">
        <v>282</v>
      </c>
      <c r="B76" s="46">
        <v>250000</v>
      </c>
      <c r="F76" s="37" t="s">
        <v>283</v>
      </c>
      <c r="G76" s="37"/>
      <c r="H76" s="38" t="s">
        <v>279</v>
      </c>
      <c r="I76" s="56" t="s">
        <v>225</v>
      </c>
      <c r="J76" s="38" t="s">
        <v>96</v>
      </c>
      <c r="K76" s="40" t="s">
        <v>284</v>
      </c>
      <c r="L76" s="40" t="s">
        <v>285</v>
      </c>
      <c r="M76" s="41" t="str">
        <f>IF(H76="Pedagógico","ILUSTRATIVO — no apto p/ decisión real",IF(H76="Simulado","NO VERIFICABLE — requiere validación técnica",IF(K76="","Revisar: el input no tiene fuente","")))</f>
        <v>NO VERIFICABLE — requiere validación técnica</v>
      </c>
    </row>
    <row r="77" spans="1:13" ht="25.5" customHeight="1" x14ac:dyDescent="0.25">
      <c r="A77" s="27" t="s">
        <v>286</v>
      </c>
      <c r="B77" s="50">
        <v>200000</v>
      </c>
      <c r="F77" s="37" t="s">
        <v>278</v>
      </c>
      <c r="G77" s="37" t="s">
        <v>93</v>
      </c>
      <c r="H77" s="38" t="s">
        <v>111</v>
      </c>
      <c r="I77" s="56" t="s">
        <v>225</v>
      </c>
      <c r="J77" s="38" t="s">
        <v>96</v>
      </c>
      <c r="K77" s="40" t="s">
        <v>287</v>
      </c>
      <c r="L77" s="40" t="s">
        <v>288</v>
      </c>
      <c r="M77" s="41" t="str">
        <f>IF(H77="Pedagógico","ILUSTRATIVO — no apto p/ decisión real",IF(H77="Simulado","NO VERIFICABLE — requiere validación técnica",IF(K77="","Revisar: el input no tiene fuente","")))</f>
        <v>ILUSTRATIVO — no apto p/ decisión real</v>
      </c>
    </row>
    <row r="78" spans="1:13" ht="25.5" customHeight="1" x14ac:dyDescent="0.25">
      <c r="A78" s="27" t="s">
        <v>289</v>
      </c>
      <c r="B78" s="44">
        <v>0.5</v>
      </c>
      <c r="F78" s="37" t="s">
        <v>224</v>
      </c>
      <c r="G78" s="37"/>
      <c r="H78" s="38" t="s">
        <v>111</v>
      </c>
      <c r="I78" s="56" t="s">
        <v>225</v>
      </c>
      <c r="J78" s="38" t="s">
        <v>96</v>
      </c>
      <c r="K78" s="40"/>
      <c r="L78" s="40" t="s">
        <v>290</v>
      </c>
      <c r="M78" s="41" t="str">
        <f>IF(H78="Pedagógico","ILUSTRATIVO — no apto p/ decisión real",IF(H78="Simulado","NO VERIFICABLE — requiere validación técnica",IF(K78="","Revisar: el input no tiene fuente","")))</f>
        <v>ILUSTRATIVO — no apto p/ decisión real</v>
      </c>
    </row>
    <row r="79" spans="1:13" ht="24" customHeight="1" x14ac:dyDescent="0.25">
      <c r="A79" s="27" t="s">
        <v>291</v>
      </c>
      <c r="C79" s="51">
        <v>0.33</v>
      </c>
      <c r="D79" s="51">
        <v>0.66</v>
      </c>
      <c r="E79" s="51">
        <v>1</v>
      </c>
      <c r="K79" s="40" t="s">
        <v>260</v>
      </c>
      <c r="L79" s="40" t="s">
        <v>292</v>
      </c>
    </row>
    <row r="80" spans="1:13" ht="25.5" customHeight="1" x14ac:dyDescent="0.25">
      <c r="A80" s="27" t="s">
        <v>293</v>
      </c>
      <c r="B80" s="59">
        <v>5.0000000000000001E-3</v>
      </c>
      <c r="F80" s="37" t="s">
        <v>116</v>
      </c>
      <c r="G80" s="37"/>
      <c r="H80" s="38" t="s">
        <v>111</v>
      </c>
      <c r="I80" s="56" t="s">
        <v>225</v>
      </c>
      <c r="J80" s="38" t="s">
        <v>96</v>
      </c>
      <c r="K80" s="40" t="s">
        <v>294</v>
      </c>
      <c r="L80" s="40" t="s">
        <v>295</v>
      </c>
      <c r="M80" s="41" t="str">
        <f t="shared" ref="M80:M85" si="4">IF(H80="Pedagógico","ILUSTRATIVO — no apto p/ decisión real",IF(H80="Simulado","NO VERIFICABLE — requiere validación técnica",IF(K80="","Revisar: el input no tiene fuente","")))</f>
        <v>ILUSTRATIVO — no apto p/ decisión real</v>
      </c>
    </row>
    <row r="81" spans="1:13" ht="25.5" customHeight="1" x14ac:dyDescent="0.25">
      <c r="A81" s="27" t="s">
        <v>296</v>
      </c>
      <c r="B81" s="44">
        <v>0.3</v>
      </c>
      <c r="F81" s="37" t="s">
        <v>116</v>
      </c>
      <c r="G81" s="37"/>
      <c r="H81" s="38" t="s">
        <v>111</v>
      </c>
      <c r="I81" s="56" t="s">
        <v>225</v>
      </c>
      <c r="J81" s="38" t="s">
        <v>96</v>
      </c>
      <c r="K81" s="40"/>
      <c r="L81" s="40" t="s">
        <v>297</v>
      </c>
      <c r="M81" s="41" t="str">
        <f t="shared" si="4"/>
        <v>ILUSTRATIVO — no apto p/ decisión real</v>
      </c>
    </row>
    <row r="82" spans="1:13" ht="25.5" customHeight="1" x14ac:dyDescent="0.25">
      <c r="A82" s="27" t="s">
        <v>298</v>
      </c>
      <c r="B82" s="44">
        <v>1</v>
      </c>
      <c r="F82" s="37" t="s">
        <v>224</v>
      </c>
      <c r="G82" s="37"/>
      <c r="H82" s="38" t="s">
        <v>111</v>
      </c>
      <c r="I82" s="56" t="s">
        <v>225</v>
      </c>
      <c r="J82" s="38" t="s">
        <v>96</v>
      </c>
      <c r="K82" s="40"/>
      <c r="L82" s="40" t="s">
        <v>299</v>
      </c>
      <c r="M82" s="41" t="str">
        <f t="shared" si="4"/>
        <v>ILUSTRATIVO — no apto p/ decisión real</v>
      </c>
    </row>
    <row r="83" spans="1:13" ht="25.5" customHeight="1" x14ac:dyDescent="0.25">
      <c r="A83" s="27" t="s">
        <v>300</v>
      </c>
      <c r="B83" s="44">
        <v>0.02</v>
      </c>
      <c r="F83" s="37" t="s">
        <v>116</v>
      </c>
      <c r="G83" s="37"/>
      <c r="H83" s="38" t="s">
        <v>111</v>
      </c>
      <c r="I83" s="56" t="s">
        <v>225</v>
      </c>
      <c r="J83" s="38" t="s">
        <v>96</v>
      </c>
      <c r="K83" s="40"/>
      <c r="L83" s="40"/>
      <c r="M83" s="41" t="str">
        <f t="shared" si="4"/>
        <v>ILUSTRATIVO — no apto p/ decisión real</v>
      </c>
    </row>
    <row r="84" spans="1:13" ht="25.5" customHeight="1" x14ac:dyDescent="0.25">
      <c r="A84" s="27" t="s">
        <v>301</v>
      </c>
      <c r="B84" s="44">
        <v>0.95</v>
      </c>
      <c r="F84" s="37" t="s">
        <v>116</v>
      </c>
      <c r="G84" s="37"/>
      <c r="H84" s="38" t="s">
        <v>111</v>
      </c>
      <c r="I84" s="56" t="s">
        <v>225</v>
      </c>
      <c r="J84" s="38" t="s">
        <v>96</v>
      </c>
      <c r="K84" s="40"/>
      <c r="L84" s="40"/>
      <c r="M84" s="41" t="str">
        <f t="shared" si="4"/>
        <v>ILUSTRATIVO — no apto p/ decisión real</v>
      </c>
    </row>
    <row r="85" spans="1:13" ht="25.5" customHeight="1" x14ac:dyDescent="0.25">
      <c r="A85" s="27" t="s">
        <v>302</v>
      </c>
      <c r="B85" s="51">
        <v>1</v>
      </c>
      <c r="F85" s="37" t="s">
        <v>147</v>
      </c>
      <c r="G85" s="37"/>
      <c r="H85" s="38" t="s">
        <v>111</v>
      </c>
      <c r="I85" s="56" t="s">
        <v>225</v>
      </c>
      <c r="J85" s="38" t="s">
        <v>96</v>
      </c>
      <c r="K85" s="40"/>
      <c r="L85" s="40"/>
      <c r="M85" s="41" t="str">
        <f t="shared" si="4"/>
        <v>ILUSTRATIVO — no apto p/ decisión real</v>
      </c>
    </row>
    <row r="87" spans="1:13" ht="19.5" customHeight="1" x14ac:dyDescent="0.2">
      <c r="A87" s="8" t="s">
        <v>303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pans="1:13" ht="25.5" customHeight="1" x14ac:dyDescent="0.25">
      <c r="A88" s="27" t="s">
        <v>304</v>
      </c>
      <c r="B88" s="50">
        <v>15000</v>
      </c>
      <c r="F88" s="37" t="s">
        <v>174</v>
      </c>
      <c r="G88" s="37" t="s">
        <v>93</v>
      </c>
      <c r="H88" s="38" t="s">
        <v>111</v>
      </c>
      <c r="I88" s="56" t="s">
        <v>225</v>
      </c>
      <c r="J88" s="38" t="s">
        <v>96</v>
      </c>
      <c r="K88" s="40" t="s">
        <v>305</v>
      </c>
      <c r="L88" s="40" t="s">
        <v>306</v>
      </c>
      <c r="M88" s="41" t="str">
        <f>IF(H88="Pedagógico","ILUSTRATIVO — no apto p/ decisión real",IF(H88="Simulado","NO VERIFICABLE — requiere validación técnica",IF(K88="","Revisar: el input no tiene fuente","")))</f>
        <v>ILUSTRATIVO — no apto p/ decisión real</v>
      </c>
    </row>
    <row r="89" spans="1:13" ht="25.5" customHeight="1" x14ac:dyDescent="0.25">
      <c r="A89" s="27" t="s">
        <v>307</v>
      </c>
      <c r="B89" s="42">
        <v>6</v>
      </c>
      <c r="F89" s="37" t="s">
        <v>231</v>
      </c>
      <c r="G89" s="37"/>
      <c r="H89" s="38" t="s">
        <v>111</v>
      </c>
      <c r="I89" s="56" t="s">
        <v>225</v>
      </c>
      <c r="J89" s="38" t="s">
        <v>96</v>
      </c>
      <c r="K89" s="40"/>
      <c r="L89" s="40" t="s">
        <v>308</v>
      </c>
      <c r="M89" s="41" t="str">
        <f>IF(H89="Pedagógico","ILUSTRATIVO — no apto p/ decisión real",IF(H89="Simulado","NO VERIFICABLE — requiere validación técnica",IF(K89="","Revisar: el input no tiene fuente","")))</f>
        <v>ILUSTRATIVO — no apto p/ decisión real</v>
      </c>
    </row>
    <row r="90" spans="1:13" ht="25.5" customHeight="1" x14ac:dyDescent="0.25">
      <c r="A90" s="27" t="s">
        <v>309</v>
      </c>
      <c r="B90" s="50">
        <v>3000</v>
      </c>
      <c r="F90" s="37" t="s">
        <v>174</v>
      </c>
      <c r="G90" s="37" t="s">
        <v>93</v>
      </c>
      <c r="H90" s="38" t="s">
        <v>111</v>
      </c>
      <c r="I90" s="56" t="s">
        <v>225</v>
      </c>
      <c r="J90" s="38" t="s">
        <v>96</v>
      </c>
      <c r="K90" s="40" t="s">
        <v>310</v>
      </c>
      <c r="L90" s="40" t="s">
        <v>311</v>
      </c>
      <c r="M90" s="41" t="str">
        <f>IF(H90="Pedagógico","ILUSTRATIVO — no apto p/ decisión real",IF(H90="Simulado","NO VERIFICABLE — requiere validación técnica",IF(K90="","Revisar: el input no tiene fuente","")))</f>
        <v>ILUSTRATIVO — no apto p/ decisión real</v>
      </c>
    </row>
    <row r="91" spans="1:13" ht="25.5" customHeight="1" x14ac:dyDescent="0.25">
      <c r="A91" s="27" t="s">
        <v>312</v>
      </c>
      <c r="B91" s="44">
        <v>0.8</v>
      </c>
      <c r="F91" s="37" t="s">
        <v>224</v>
      </c>
      <c r="G91" s="37"/>
      <c r="H91" s="38" t="s">
        <v>111</v>
      </c>
      <c r="I91" s="56" t="s">
        <v>225</v>
      </c>
      <c r="J91" s="38" t="s">
        <v>96</v>
      </c>
      <c r="K91" s="40"/>
      <c r="L91" s="40" t="s">
        <v>313</v>
      </c>
      <c r="M91" s="41" t="str">
        <f>IF(H91="Pedagógico","ILUSTRATIVO — no apto p/ decisión real",IF(H91="Simulado","NO VERIFICABLE — requiere validación técnica",IF(K91="","Revisar: el input no tiene fuente","")))</f>
        <v>ILUSTRATIVO — no apto p/ decisión real</v>
      </c>
    </row>
    <row r="92" spans="1:13" ht="25.5" customHeight="1" x14ac:dyDescent="0.25">
      <c r="A92" s="27" t="s">
        <v>314</v>
      </c>
      <c r="B92" s="51">
        <v>0.6</v>
      </c>
      <c r="F92" s="37" t="s">
        <v>147</v>
      </c>
      <c r="G92" s="37"/>
      <c r="H92" s="38" t="s">
        <v>111</v>
      </c>
      <c r="I92" s="56" t="s">
        <v>225</v>
      </c>
      <c r="J92" s="38" t="s">
        <v>96</v>
      </c>
      <c r="K92" s="40" t="s">
        <v>315</v>
      </c>
      <c r="L92" s="40" t="s">
        <v>316</v>
      </c>
      <c r="M92" s="41" t="str">
        <f>IF(H92="Pedagógico","ILUSTRATIVO — no apto p/ decisión real",IF(H92="Simulado","NO VERIFICABLE — requiere validación técnica",IF(K92="","Revisar: el input no tiene fuente","")))</f>
        <v>ILUSTRATIVO — no apto p/ decisión real</v>
      </c>
    </row>
    <row r="94" spans="1:13" ht="19.5" customHeight="1" x14ac:dyDescent="0.2">
      <c r="A94" s="8" t="s">
        <v>317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pans="1:13" ht="25.5" customHeight="1" x14ac:dyDescent="0.25">
      <c r="A95" s="27" t="s">
        <v>318</v>
      </c>
      <c r="B95" s="44">
        <v>0.1</v>
      </c>
      <c r="F95" s="37" t="s">
        <v>116</v>
      </c>
      <c r="G95" s="37"/>
      <c r="H95" s="38" t="s">
        <v>111</v>
      </c>
      <c r="I95" s="56" t="s">
        <v>225</v>
      </c>
      <c r="J95" s="38" t="s">
        <v>96</v>
      </c>
      <c r="K95" s="40"/>
      <c r="L95" s="40" t="s">
        <v>319</v>
      </c>
      <c r="M95" s="41" t="str">
        <f t="shared" ref="M95:M104" si="5">IF(H95="Pedagógico","ILUSTRATIVO — no apto p/ decisión real",IF(H95="Simulado","NO VERIFICABLE — requiere validación técnica",IF(K95="","Revisar: el input no tiene fuente","")))</f>
        <v>ILUSTRATIVO — no apto p/ decisión real</v>
      </c>
    </row>
    <row r="96" spans="1:13" ht="25.5" customHeight="1" x14ac:dyDescent="0.25">
      <c r="A96" s="27" t="s">
        <v>320</v>
      </c>
      <c r="B96" s="50">
        <v>10000000</v>
      </c>
      <c r="F96" s="37" t="s">
        <v>174</v>
      </c>
      <c r="G96" s="37" t="s">
        <v>93</v>
      </c>
      <c r="H96" s="38" t="s">
        <v>111</v>
      </c>
      <c r="I96" s="56" t="s">
        <v>225</v>
      </c>
      <c r="J96" s="38" t="s">
        <v>96</v>
      </c>
      <c r="K96" s="40"/>
      <c r="L96" s="40"/>
      <c r="M96" s="41" t="str">
        <f t="shared" si="5"/>
        <v>ILUSTRATIVO — no apto p/ decisión real</v>
      </c>
    </row>
    <row r="97" spans="1:13" ht="25.5" customHeight="1" x14ac:dyDescent="0.25">
      <c r="A97" s="27" t="s">
        <v>321</v>
      </c>
      <c r="B97" s="50">
        <v>5000000</v>
      </c>
      <c r="F97" s="37" t="s">
        <v>174</v>
      </c>
      <c r="G97" s="37" t="s">
        <v>93</v>
      </c>
      <c r="H97" s="38" t="s">
        <v>111</v>
      </c>
      <c r="I97" s="56" t="s">
        <v>225</v>
      </c>
      <c r="J97" s="38" t="s">
        <v>96</v>
      </c>
      <c r="K97" s="40"/>
      <c r="L97" s="40"/>
      <c r="M97" s="41" t="str">
        <f t="shared" si="5"/>
        <v>ILUSTRATIVO — no apto p/ decisión real</v>
      </c>
    </row>
    <row r="98" spans="1:13" ht="25.5" customHeight="1" x14ac:dyDescent="0.25">
      <c r="A98" s="27" t="s">
        <v>322</v>
      </c>
      <c r="B98" s="51">
        <v>1</v>
      </c>
      <c r="F98" s="37" t="s">
        <v>147</v>
      </c>
      <c r="G98" s="37"/>
      <c r="H98" s="38" t="s">
        <v>111</v>
      </c>
      <c r="I98" s="56" t="s">
        <v>225</v>
      </c>
      <c r="J98" s="38" t="s">
        <v>96</v>
      </c>
      <c r="K98" s="40"/>
      <c r="L98" s="40" t="s">
        <v>323</v>
      </c>
      <c r="M98" s="41" t="str">
        <f t="shared" si="5"/>
        <v>ILUSTRATIVO — no apto p/ decisión real</v>
      </c>
    </row>
    <row r="99" spans="1:13" ht="25.5" customHeight="1" x14ac:dyDescent="0.25">
      <c r="A99" s="27" t="s">
        <v>324</v>
      </c>
      <c r="B99" s="50">
        <v>5000000</v>
      </c>
      <c r="F99" s="37" t="s">
        <v>174</v>
      </c>
      <c r="G99" s="37" t="s">
        <v>93</v>
      </c>
      <c r="H99" s="38" t="s">
        <v>111</v>
      </c>
      <c r="I99" s="56" t="s">
        <v>225</v>
      </c>
      <c r="J99" s="38" t="s">
        <v>96</v>
      </c>
      <c r="K99" s="40"/>
      <c r="L99" s="40" t="s">
        <v>325</v>
      </c>
      <c r="M99" s="41" t="str">
        <f t="shared" si="5"/>
        <v>ILUSTRATIVO — no apto p/ decisión real</v>
      </c>
    </row>
    <row r="100" spans="1:13" ht="25.5" customHeight="1" x14ac:dyDescent="0.25">
      <c r="A100" s="27" t="s">
        <v>326</v>
      </c>
      <c r="B100" s="50">
        <v>20000000</v>
      </c>
      <c r="F100" s="37" t="s">
        <v>174</v>
      </c>
      <c r="G100" s="37" t="s">
        <v>93</v>
      </c>
      <c r="H100" s="38" t="s">
        <v>121</v>
      </c>
      <c r="I100" s="45" t="s">
        <v>122</v>
      </c>
      <c r="J100" s="38" t="s">
        <v>96</v>
      </c>
      <c r="K100" s="40" t="s">
        <v>327</v>
      </c>
      <c r="L100" s="40" t="s">
        <v>328</v>
      </c>
      <c r="M100" s="41" t="str">
        <f t="shared" si="5"/>
        <v/>
      </c>
    </row>
    <row r="101" spans="1:13" ht="25.5" customHeight="1" x14ac:dyDescent="0.25">
      <c r="A101" s="27" t="s">
        <v>329</v>
      </c>
      <c r="B101" s="44">
        <v>0.03</v>
      </c>
      <c r="F101" s="37" t="s">
        <v>116</v>
      </c>
      <c r="G101" s="37"/>
      <c r="H101" s="38" t="s">
        <v>111</v>
      </c>
      <c r="I101" s="43" t="s">
        <v>112</v>
      </c>
      <c r="J101" s="38" t="s">
        <v>96</v>
      </c>
      <c r="K101" s="40" t="s">
        <v>330</v>
      </c>
      <c r="L101" s="40"/>
      <c r="M101" s="41" t="str">
        <f t="shared" si="5"/>
        <v>ILUSTRATIVO — no apto p/ decisión real</v>
      </c>
    </row>
    <row r="102" spans="1:13" ht="25.5" customHeight="1" x14ac:dyDescent="0.25">
      <c r="A102" s="27" t="s">
        <v>331</v>
      </c>
      <c r="B102" s="50"/>
      <c r="F102" s="37" t="s">
        <v>174</v>
      </c>
      <c r="G102" s="37" t="s">
        <v>93</v>
      </c>
      <c r="H102" s="38" t="s">
        <v>121</v>
      </c>
      <c r="I102" s="45" t="s">
        <v>122</v>
      </c>
      <c r="J102" s="38" t="s">
        <v>96</v>
      </c>
      <c r="K102" s="40" t="s">
        <v>332</v>
      </c>
      <c r="L102" s="40"/>
      <c r="M102" s="41" t="str">
        <f t="shared" si="5"/>
        <v/>
      </c>
    </row>
    <row r="103" spans="1:13" ht="25.5" customHeight="1" x14ac:dyDescent="0.25">
      <c r="A103" s="27" t="s">
        <v>333</v>
      </c>
      <c r="B103" s="50"/>
      <c r="F103" s="37" t="s">
        <v>174</v>
      </c>
      <c r="G103" s="37" t="s">
        <v>93</v>
      </c>
      <c r="H103" s="38" t="s">
        <v>121</v>
      </c>
      <c r="I103" s="45" t="s">
        <v>122</v>
      </c>
      <c r="J103" s="38" t="s">
        <v>96</v>
      </c>
      <c r="K103" s="40" t="s">
        <v>334</v>
      </c>
      <c r="L103" s="40"/>
      <c r="M103" s="41" t="str">
        <f t="shared" si="5"/>
        <v/>
      </c>
    </row>
    <row r="104" spans="1:13" ht="25.5" customHeight="1" x14ac:dyDescent="0.25">
      <c r="A104" s="27" t="s">
        <v>335</v>
      </c>
      <c r="B104" s="50"/>
      <c r="F104" s="37" t="s">
        <v>242</v>
      </c>
      <c r="G104" s="37" t="s">
        <v>93</v>
      </c>
      <c r="H104" s="38" t="s">
        <v>111</v>
      </c>
      <c r="I104" s="43" t="s">
        <v>112</v>
      </c>
      <c r="J104" s="38" t="s">
        <v>96</v>
      </c>
      <c r="K104" s="40" t="s">
        <v>336</v>
      </c>
      <c r="L104" s="40" t="s">
        <v>337</v>
      </c>
      <c r="M104" s="41" t="str">
        <f t="shared" si="5"/>
        <v>ILUSTRATIVO — no apto p/ decisión real</v>
      </c>
    </row>
    <row r="106" spans="1:13" ht="19.5" customHeight="1" x14ac:dyDescent="0.2">
      <c r="A106" s="2" t="s">
        <v>338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 ht="18" customHeight="1" x14ac:dyDescent="0.2">
      <c r="A107" s="6" t="str">
        <f>IF(B27&gt;=MIN(C71:E71),"Alerta: WACC menor o igual al crecimiento terminal — el valor terminal es inválido.","Correcto: WACC &gt; g terminal en los tres filtros.")</f>
        <v>Correcto: WACC &gt; g terminal en los tres filtros.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</row>
    <row r="108" spans="1:13" ht="18" customHeight="1" x14ac:dyDescent="0.2">
      <c r="A108" s="6" t="str">
        <f>B28</f>
        <v>OK — flujos privados nominales / WACC nominal en USD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 ht="18" customHeight="1" x14ac:dyDescent="0.2">
      <c r="A109" s="6" t="str">
        <f>B29</f>
        <v>OK — flujos sociales reales / tasa social real (ΔOPEX social deflactado)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 ht="18" customHeight="1" x14ac:dyDescent="0.2">
      <c r="A110" s="6" t="str">
        <f>"Correcto: el precio social del carbono ("&amp;TEXT(B61,"#,##0")&amp;") NO entra al flujo corporativo; el canal impuesto usa el precio regulado ("&amp;TEXT(B62,"#,##0")&amp;") — sin doble conteo."</f>
        <v>Correcto: el precio social del carbono (75,0) NO entra al flujo corporativo; el canal impuesto usa el precio regulado (25,0) — sin doble conteo.</v>
      </c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 ht="18" customHeight="1" x14ac:dyDescent="0.2">
      <c r="A111" s="6" t="str">
        <f>IF(COUNTBLANK(K52)+COUNTBLANK(K61)+COUNTBLANK(K75)&gt;0,"Revisar: hay inputs materiales sin fuente.","Correcto: los inputs materiales tienen fuente y clasificación de confianza.")</f>
        <v>Correcto: los inputs materiales tienen fuente y clasificación de confianza.</v>
      </c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3" spans="1:13" ht="19.5" customHeight="1" x14ac:dyDescent="0.2">
      <c r="A113" s="8" t="s">
        <v>339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13" ht="24" customHeight="1" x14ac:dyDescent="0.25">
      <c r="A114" s="27" t="s">
        <v>340</v>
      </c>
      <c r="B114" s="42">
        <v>3</v>
      </c>
      <c r="L114" s="40" t="s">
        <v>341</v>
      </c>
    </row>
    <row r="115" spans="1:13" ht="24" customHeight="1" x14ac:dyDescent="0.25">
      <c r="A115" s="27" t="s">
        <v>342</v>
      </c>
      <c r="B115" s="44">
        <v>1</v>
      </c>
      <c r="L115" s="40" t="s">
        <v>343</v>
      </c>
    </row>
    <row r="116" spans="1:13" ht="24" customHeight="1" x14ac:dyDescent="0.25">
      <c r="A116" s="27" t="s">
        <v>344</v>
      </c>
      <c r="B116" s="44">
        <v>0.3</v>
      </c>
      <c r="L116" s="40"/>
    </row>
    <row r="117" spans="1:13" ht="24" customHeight="1" x14ac:dyDescent="0.25">
      <c r="A117" s="27" t="s">
        <v>345</v>
      </c>
      <c r="B117" s="36" t="s">
        <v>346</v>
      </c>
      <c r="L117" s="40" t="s">
        <v>347</v>
      </c>
    </row>
    <row r="118" spans="1:13" ht="24" customHeight="1" x14ac:dyDescent="0.25">
      <c r="A118" s="27" t="s">
        <v>348</v>
      </c>
      <c r="B118" s="36" t="s">
        <v>349</v>
      </c>
      <c r="L118" s="40" t="s">
        <v>350</v>
      </c>
    </row>
    <row r="119" spans="1:13" ht="24" customHeight="1" x14ac:dyDescent="0.25">
      <c r="A119" s="27" t="s">
        <v>351</v>
      </c>
      <c r="B119" s="36" t="s">
        <v>352</v>
      </c>
      <c r="L119" s="40" t="s">
        <v>353</v>
      </c>
    </row>
    <row r="120" spans="1:13" ht="24" customHeight="1" x14ac:dyDescent="0.25">
      <c r="A120" s="27" t="s">
        <v>354</v>
      </c>
      <c r="B120" s="42">
        <v>1</v>
      </c>
      <c r="L120" s="40" t="s">
        <v>355</v>
      </c>
    </row>
    <row r="121" spans="1:13" ht="24" customHeight="1" x14ac:dyDescent="0.25">
      <c r="A121" s="27" t="s">
        <v>356</v>
      </c>
      <c r="B121" s="44">
        <v>1</v>
      </c>
      <c r="L121" s="40" t="s">
        <v>357</v>
      </c>
    </row>
    <row r="122" spans="1:13" ht="24" customHeight="1" x14ac:dyDescent="0.25">
      <c r="A122" s="27" t="s">
        <v>358</v>
      </c>
      <c r="B122" s="44">
        <v>0.03</v>
      </c>
      <c r="L122" s="40"/>
    </row>
    <row r="123" spans="1:13" ht="24" customHeight="1" x14ac:dyDescent="0.25">
      <c r="A123" s="27" t="s">
        <v>359</v>
      </c>
      <c r="B123" s="50">
        <v>2000000</v>
      </c>
      <c r="L123" s="40"/>
    </row>
    <row r="124" spans="1:13" ht="21.75" customHeight="1" x14ac:dyDescent="0.2">
      <c r="A124" s="1" t="str">
        <f>IF(OR(B117="Incierto",B118="Incierto",B119="Incierto"),"Alerta (amarilla): al menos un canal tiene tratamiento fiscal INCIERTO — se aplica el escenario base (1−τ); ver sensibilidad fiscal M11.","Correcto: tratamientos fiscales definidos para los tres canales activos.")</f>
        <v>Alerta (amarilla): al menos un canal tiene tratamiento fiscal INCIERTO — se aplica el escenario base (1−τ); ver sensibilidad fiscal M11.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</sheetData>
  <sheetProtection sheet="1" formatColumns="0" formatRows="0"/>
  <mergeCells count="18">
    <mergeCell ref="A111:M111"/>
    <mergeCell ref="A113:M113"/>
    <mergeCell ref="A124:M124"/>
    <mergeCell ref="A106:M106"/>
    <mergeCell ref="A107:M107"/>
    <mergeCell ref="A108:M108"/>
    <mergeCell ref="A109:M109"/>
    <mergeCell ref="A110:M110"/>
    <mergeCell ref="A51:M51"/>
    <mergeCell ref="A60:M60"/>
    <mergeCell ref="A74:M74"/>
    <mergeCell ref="A87:M87"/>
    <mergeCell ref="A94:M94"/>
    <mergeCell ref="A2:M2"/>
    <mergeCell ref="A3:M3"/>
    <mergeCell ref="A5:M5"/>
    <mergeCell ref="A31:M31"/>
    <mergeCell ref="A42:M42"/>
  </mergeCells>
  <dataValidations count="6">
    <dataValidation type="list" sqref="B7" xr:uid="{00000000-0002-0000-0100-000000000000}">
      <formula1>"USD,COP"</formula1>
      <formula2>0</formula2>
    </dataValidation>
    <dataValidation type="list" sqref="B8" xr:uid="{00000000-0002-0000-0100-000001000000}">
      <formula1>"Nominal,Real"</formula1>
      <formula2>0</formula2>
    </dataValidation>
    <dataValidation type="whole" sqref="B9 B120" xr:uid="{00000000-0002-0000-0100-000002000000}">
      <formula1>1</formula1>
      <formula2>3</formula2>
    </dataValidation>
    <dataValidation type="whole" sqref="B10:B11" xr:uid="{00000000-0002-0000-0100-000003000000}">
      <formula1>1</formula1>
      <formula2>5</formula2>
    </dataValidation>
    <dataValidation type="list" sqref="B117:B119" xr:uid="{00000000-0002-0000-0100-000004000000}">
      <formula1>"Gravado,No gravado,Deducible evitado,No deducible,Incierto"</formula1>
      <formula2>0</formula2>
    </dataValidation>
    <dataValidation type="whole" sqref="B114" xr:uid="{00000000-0002-0000-0100-000007000000}">
      <formula1>1</formula1>
      <formula2>4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51"/>
  <sheetViews>
    <sheetView zoomScaleNormal="100" workbookViewId="0"/>
  </sheetViews>
  <sheetFormatPr baseColWidth="10" defaultColWidth="8.7109375" defaultRowHeight="15" x14ac:dyDescent="0.25"/>
  <cols>
    <col min="1" max="1" width="45" style="32" customWidth="1"/>
    <col min="2" max="2" width="3" style="32" customWidth="1"/>
    <col min="3" max="13" width="12.42578125" style="32" customWidth="1"/>
    <col min="14" max="14" width="16" style="32" customWidth="1"/>
    <col min="15" max="17" width="16" style="60" customWidth="1"/>
  </cols>
  <sheetData>
    <row r="1" spans="1:17" ht="12.75" customHeight="1" x14ac:dyDescent="0.25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  <c r="I1" s="33"/>
      <c r="J1" s="33"/>
    </row>
    <row r="2" spans="1:17" ht="19.5" customHeight="1" x14ac:dyDescent="0.2">
      <c r="A2" s="162" t="s">
        <v>360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61"/>
      <c r="P2" s="61"/>
      <c r="Q2" s="61"/>
    </row>
    <row r="3" spans="1:17" ht="96" customHeight="1" x14ac:dyDescent="0.25">
      <c r="A3" s="163" t="s">
        <v>361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62" t="s">
        <v>362</v>
      </c>
      <c r="P3" s="62" t="s">
        <v>363</v>
      </c>
      <c r="Q3" s="62" t="s">
        <v>364</v>
      </c>
    </row>
    <row r="4" spans="1:17" ht="15" customHeight="1" x14ac:dyDescent="0.25">
      <c r="N4" s="63" t="s">
        <v>200</v>
      </c>
      <c r="O4" s="64"/>
      <c r="P4" s="64"/>
      <c r="Q4" s="64"/>
    </row>
    <row r="5" spans="1:17" ht="15" customHeight="1" x14ac:dyDescent="0.25">
      <c r="A5" s="65" t="s">
        <v>365</v>
      </c>
      <c r="C5" s="66">
        <v>0</v>
      </c>
      <c r="D5" s="66">
        <v>1</v>
      </c>
      <c r="E5" s="66">
        <v>2</v>
      </c>
      <c r="F5" s="66">
        <v>3</v>
      </c>
      <c r="G5" s="66">
        <v>4</v>
      </c>
      <c r="H5" s="66">
        <v>5</v>
      </c>
      <c r="I5" s="66">
        <v>6</v>
      </c>
      <c r="J5" s="66">
        <v>7</v>
      </c>
      <c r="K5" s="66">
        <v>8</v>
      </c>
      <c r="L5" s="66">
        <v>9</v>
      </c>
      <c r="M5" s="66">
        <v>10</v>
      </c>
      <c r="N5" s="63" t="s">
        <v>201</v>
      </c>
      <c r="O5" s="64"/>
      <c r="P5" s="64"/>
      <c r="Q5" s="64"/>
    </row>
    <row r="6" spans="1:17" ht="15" customHeight="1" x14ac:dyDescent="0.25">
      <c r="N6" s="63" t="s">
        <v>202</v>
      </c>
      <c r="O6" s="64"/>
      <c r="P6" s="64"/>
      <c r="Q6" s="64"/>
    </row>
    <row r="7" spans="1:17" ht="19.5" customHeight="1" x14ac:dyDescent="0.2">
      <c r="A7" s="164" t="s">
        <v>366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</row>
    <row r="8" spans="1:17" ht="15" customHeight="1" x14ac:dyDescent="0.25">
      <c r="A8" s="67" t="s">
        <v>367</v>
      </c>
      <c r="C8" s="68" t="s">
        <v>368</v>
      </c>
      <c r="D8" s="68" t="s">
        <v>369</v>
      </c>
      <c r="E8" s="68" t="s">
        <v>370</v>
      </c>
      <c r="F8" s="68" t="s">
        <v>371</v>
      </c>
      <c r="G8" s="68" t="s">
        <v>372</v>
      </c>
      <c r="H8" s="68" t="s">
        <v>373</v>
      </c>
      <c r="I8" s="68" t="s">
        <v>374</v>
      </c>
      <c r="J8" s="68" t="s">
        <v>375</v>
      </c>
      <c r="K8" s="68" t="s">
        <v>376</v>
      </c>
      <c r="L8" s="68" t="s">
        <v>377</v>
      </c>
      <c r="M8" s="68" t="s">
        <v>378</v>
      </c>
      <c r="N8" s="69" t="s">
        <v>167</v>
      </c>
    </row>
    <row r="9" spans="1:17" ht="15" customHeight="1" x14ac:dyDescent="0.25">
      <c r="A9" s="27" t="s">
        <v>379</v>
      </c>
      <c r="C9" s="70">
        <v>0</v>
      </c>
      <c r="D9" s="71"/>
      <c r="E9" s="71"/>
      <c r="F9" s="71"/>
      <c r="G9" s="71"/>
      <c r="H9" s="71"/>
      <c r="I9" s="71"/>
      <c r="J9" s="71"/>
      <c r="K9" s="71"/>
      <c r="L9" s="71"/>
      <c r="M9" s="71"/>
    </row>
    <row r="10" spans="1:17" ht="15" customHeight="1" x14ac:dyDescent="0.25">
      <c r="A10" s="27" t="s">
        <v>380</v>
      </c>
      <c r="C10" s="70">
        <v>0</v>
      </c>
      <c r="D10" s="71"/>
      <c r="E10" s="71"/>
      <c r="F10" s="71"/>
      <c r="G10" s="71"/>
      <c r="H10" s="71"/>
      <c r="I10" s="71"/>
      <c r="J10" s="71"/>
      <c r="K10" s="71"/>
      <c r="L10" s="71"/>
      <c r="M10" s="71"/>
    </row>
    <row r="11" spans="1:17" ht="15" customHeight="1" x14ac:dyDescent="0.25">
      <c r="A11" s="27" t="s">
        <v>381</v>
      </c>
      <c r="C11" s="70">
        <v>0</v>
      </c>
      <c r="D11" s="71"/>
      <c r="E11" s="71"/>
      <c r="F11" s="71"/>
      <c r="G11" s="71"/>
      <c r="H11" s="71"/>
      <c r="I11" s="71"/>
      <c r="J11" s="71"/>
      <c r="K11" s="71"/>
      <c r="L11" s="71"/>
      <c r="M11" s="71"/>
    </row>
    <row r="12" spans="1:17" ht="15" customHeight="1" x14ac:dyDescent="0.25">
      <c r="A12" s="27" t="s">
        <v>382</v>
      </c>
      <c r="C12" s="70">
        <v>0</v>
      </c>
      <c r="D12" s="71"/>
      <c r="E12" s="71"/>
      <c r="F12" s="71"/>
      <c r="G12" s="71"/>
      <c r="H12" s="71"/>
      <c r="I12" s="71"/>
      <c r="J12" s="71"/>
      <c r="K12" s="71"/>
      <c r="L12" s="71"/>
      <c r="M12" s="71"/>
    </row>
    <row r="13" spans="1:17" ht="15" customHeight="1" x14ac:dyDescent="0.25">
      <c r="A13" s="27" t="s">
        <v>383</v>
      </c>
      <c r="C13" s="70">
        <v>0</v>
      </c>
      <c r="D13" s="71"/>
      <c r="E13" s="71"/>
      <c r="F13" s="71"/>
      <c r="G13" s="71"/>
      <c r="H13" s="71"/>
      <c r="I13" s="71"/>
      <c r="J13" s="71"/>
      <c r="K13" s="71"/>
      <c r="L13" s="71"/>
      <c r="M13" s="71"/>
    </row>
    <row r="14" spans="1:17" ht="15" customHeight="1" x14ac:dyDescent="0.25">
      <c r="A14" s="27" t="s">
        <v>384</v>
      </c>
      <c r="C14" s="70">
        <v>0</v>
      </c>
      <c r="D14" s="71"/>
      <c r="E14" s="71"/>
      <c r="F14" s="71"/>
      <c r="G14" s="71"/>
      <c r="H14" s="71"/>
      <c r="I14" s="71"/>
      <c r="J14" s="71"/>
      <c r="K14" s="71"/>
      <c r="L14" s="71"/>
      <c r="M14" s="71"/>
    </row>
    <row r="15" spans="1:17" ht="15" customHeight="1" x14ac:dyDescent="0.25">
      <c r="A15" s="72" t="s">
        <v>385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</row>
    <row r="16" spans="1:17" ht="15" customHeight="1" x14ac:dyDescent="0.25">
      <c r="A16" s="27" t="s">
        <v>386</v>
      </c>
      <c r="C16" s="70">
        <v>0</v>
      </c>
      <c r="D16" s="71"/>
      <c r="E16" s="71"/>
      <c r="F16" s="71"/>
      <c r="G16" s="71"/>
      <c r="H16" s="71"/>
      <c r="I16" s="71"/>
      <c r="J16" s="71"/>
      <c r="K16" s="71"/>
      <c r="L16" s="71"/>
      <c r="M16" s="71"/>
    </row>
    <row r="17" spans="1:14" ht="15" customHeight="1" x14ac:dyDescent="0.25">
      <c r="A17" s="27" t="s">
        <v>387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</row>
    <row r="18" spans="1:14" ht="15" customHeight="1" x14ac:dyDescent="0.25">
      <c r="A18" s="27" t="s">
        <v>388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</row>
    <row r="19" spans="1:14" ht="15" customHeight="1" x14ac:dyDescent="0.25">
      <c r="A19" s="27" t="s">
        <v>389</v>
      </c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</row>
    <row r="20" spans="1:14" ht="15" customHeight="1" x14ac:dyDescent="0.25">
      <c r="A20" s="27" t="s">
        <v>390</v>
      </c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</row>
    <row r="21" spans="1:14" ht="15" customHeight="1" x14ac:dyDescent="0.25">
      <c r="A21" s="27" t="s">
        <v>391</v>
      </c>
      <c r="C21" s="71"/>
      <c r="D21" s="70">
        <v>0</v>
      </c>
      <c r="E21" s="70">
        <v>0</v>
      </c>
      <c r="F21" s="70">
        <v>0</v>
      </c>
      <c r="G21" s="70">
        <v>0</v>
      </c>
      <c r="H21" s="70">
        <v>0</v>
      </c>
      <c r="I21" s="70">
        <v>0</v>
      </c>
      <c r="J21" s="70">
        <v>0</v>
      </c>
      <c r="K21" s="70">
        <v>0</v>
      </c>
      <c r="L21" s="70">
        <v>0</v>
      </c>
      <c r="M21" s="70">
        <v>0</v>
      </c>
    </row>
    <row r="22" spans="1:14" ht="15" customHeight="1" x14ac:dyDescent="0.25">
      <c r="A22" s="27" t="s">
        <v>392</v>
      </c>
      <c r="C22" s="71"/>
      <c r="D22" s="70">
        <v>0</v>
      </c>
      <c r="E22" s="70">
        <v>0</v>
      </c>
      <c r="F22" s="70">
        <v>0</v>
      </c>
      <c r="G22" s="70">
        <v>0</v>
      </c>
      <c r="H22" s="70">
        <v>0</v>
      </c>
      <c r="I22" s="70">
        <v>0</v>
      </c>
      <c r="J22" s="70">
        <v>0</v>
      </c>
      <c r="K22" s="70">
        <v>0</v>
      </c>
      <c r="L22" s="70">
        <v>0</v>
      </c>
      <c r="M22" s="70">
        <v>0</v>
      </c>
    </row>
    <row r="23" spans="1:14" ht="15" customHeight="1" x14ac:dyDescent="0.25">
      <c r="A23" s="27" t="s">
        <v>393</v>
      </c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4"/>
    </row>
    <row r="24" spans="1:14" ht="25.5" customHeight="1" x14ac:dyDescent="0.25">
      <c r="A24" s="27" t="s">
        <v>394</v>
      </c>
      <c r="C24" s="70">
        <v>0</v>
      </c>
      <c r="D24" s="70">
        <v>0</v>
      </c>
      <c r="E24" s="70">
        <v>0</v>
      </c>
      <c r="F24" s="70">
        <v>0</v>
      </c>
      <c r="G24" s="70">
        <v>0</v>
      </c>
      <c r="H24" s="70">
        <v>0</v>
      </c>
      <c r="I24" s="70">
        <v>0</v>
      </c>
      <c r="J24" s="70">
        <v>0</v>
      </c>
      <c r="K24" s="70">
        <v>0</v>
      </c>
      <c r="L24" s="70">
        <v>0</v>
      </c>
      <c r="M24" s="71"/>
    </row>
    <row r="25" spans="1:14" ht="15" customHeight="1" x14ac:dyDescent="0.25">
      <c r="A25" s="72" t="s">
        <v>395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</row>
    <row r="26" spans="1:14" ht="15" customHeight="1" x14ac:dyDescent="0.25">
      <c r="A26" s="27" t="s">
        <v>396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</row>
    <row r="27" spans="1:14" ht="15" customHeight="1" x14ac:dyDescent="0.25">
      <c r="A27" s="27" t="s">
        <v>397</v>
      </c>
      <c r="C27" s="75">
        <v>1</v>
      </c>
      <c r="D27" s="76"/>
      <c r="E27" s="76"/>
      <c r="F27" s="76"/>
      <c r="G27" s="76"/>
      <c r="H27" s="76"/>
      <c r="I27" s="76"/>
      <c r="J27" s="76"/>
      <c r="K27" s="76"/>
      <c r="L27" s="76"/>
      <c r="M27" s="76"/>
    </row>
    <row r="28" spans="1:14" ht="15" customHeight="1" x14ac:dyDescent="0.25">
      <c r="A28" s="27" t="s">
        <v>398</v>
      </c>
      <c r="C28" s="70">
        <v>0</v>
      </c>
      <c r="D28" s="71"/>
      <c r="E28" s="71"/>
      <c r="F28" s="71"/>
      <c r="G28" s="71"/>
      <c r="H28" s="71"/>
      <c r="I28" s="71"/>
      <c r="J28" s="71"/>
      <c r="K28" s="71"/>
      <c r="L28" s="71"/>
      <c r="M28" s="71"/>
    </row>
    <row r="29" spans="1:14" ht="15" customHeight="1" x14ac:dyDescent="0.25">
      <c r="A29" s="27" t="s">
        <v>399</v>
      </c>
      <c r="C29" s="70">
        <v>0</v>
      </c>
      <c r="D29" s="71"/>
      <c r="E29" s="71"/>
      <c r="F29" s="71"/>
      <c r="G29" s="71"/>
      <c r="H29" s="71"/>
      <c r="I29" s="71"/>
      <c r="J29" s="71"/>
      <c r="K29" s="71"/>
      <c r="L29" s="71"/>
      <c r="M29" s="71"/>
    </row>
    <row r="30" spans="1:14" ht="15" customHeight="1" x14ac:dyDescent="0.25">
      <c r="A30" s="27" t="s">
        <v>400</v>
      </c>
      <c r="C30" s="75">
        <v>0</v>
      </c>
      <c r="D30" s="76"/>
      <c r="E30" s="76"/>
      <c r="F30" s="76"/>
      <c r="G30" s="76"/>
      <c r="H30" s="76"/>
      <c r="I30" s="76"/>
      <c r="J30" s="76"/>
      <c r="K30" s="76"/>
      <c r="L30" s="76"/>
      <c r="M30" s="76"/>
    </row>
    <row r="31" spans="1:14" ht="15" customHeight="1" x14ac:dyDescent="0.25">
      <c r="A31" s="27" t="s">
        <v>401</v>
      </c>
      <c r="C31" s="70">
        <v>0</v>
      </c>
      <c r="D31" s="71"/>
      <c r="E31" s="71"/>
      <c r="F31" s="71"/>
      <c r="G31" s="71"/>
      <c r="H31" s="71"/>
      <c r="I31" s="71"/>
      <c r="J31" s="71"/>
      <c r="K31" s="71"/>
      <c r="L31" s="71"/>
      <c r="M31" s="71"/>
    </row>
    <row r="32" spans="1:14" ht="15" customHeight="1" x14ac:dyDescent="0.25">
      <c r="A32" s="27" t="s">
        <v>402</v>
      </c>
      <c r="C32" s="70">
        <v>0</v>
      </c>
      <c r="D32" s="71"/>
      <c r="E32" s="71"/>
      <c r="F32" s="71"/>
      <c r="G32" s="71"/>
      <c r="H32" s="71"/>
      <c r="I32" s="71"/>
      <c r="J32" s="71"/>
      <c r="K32" s="71"/>
      <c r="L32" s="71"/>
      <c r="M32" s="71"/>
    </row>
    <row r="33" spans="1:14" ht="15" customHeight="1" x14ac:dyDescent="0.25">
      <c r="A33" s="77" t="s">
        <v>403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</row>
    <row r="34" spans="1:14" ht="15" customHeight="1" x14ac:dyDescent="0.25">
      <c r="A34" s="27" t="s">
        <v>404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</row>
    <row r="36" spans="1:14" ht="19.5" customHeight="1" x14ac:dyDescent="0.2">
      <c r="A36" s="165" t="s">
        <v>405</v>
      </c>
      <c r="B36" s="165"/>
      <c r="C36" s="165"/>
      <c r="D36" s="165"/>
      <c r="E36" s="165"/>
      <c r="F36" s="165"/>
      <c r="G36" s="165"/>
      <c r="H36" s="165"/>
      <c r="I36" s="165"/>
      <c r="J36" s="165"/>
      <c r="K36" s="165"/>
      <c r="L36" s="165"/>
      <c r="M36" s="165"/>
      <c r="N36" s="165"/>
    </row>
    <row r="37" spans="1:14" ht="15.75" customHeight="1" x14ac:dyDescent="0.25">
      <c r="A37" s="78" t="s">
        <v>406</v>
      </c>
      <c r="C37" s="79"/>
    </row>
    <row r="38" spans="1:14" ht="15.75" customHeight="1" x14ac:dyDescent="0.25">
      <c r="A38" s="27" t="s">
        <v>407</v>
      </c>
      <c r="C38" s="80"/>
    </row>
    <row r="39" spans="1:14" ht="15.75" customHeight="1" x14ac:dyDescent="0.25">
      <c r="A39" s="27" t="s">
        <v>408</v>
      </c>
      <c r="C39" s="80"/>
    </row>
    <row r="40" spans="1:14" ht="15.75" customHeight="1" x14ac:dyDescent="0.25">
      <c r="A40" s="78" t="s">
        <v>409</v>
      </c>
      <c r="C40" s="79"/>
    </row>
    <row r="41" spans="1:14" ht="15.75" customHeight="1" x14ac:dyDescent="0.25">
      <c r="A41" s="27" t="s">
        <v>410</v>
      </c>
      <c r="C41" s="81"/>
    </row>
    <row r="42" spans="1:14" ht="15.75" customHeight="1" x14ac:dyDescent="0.25">
      <c r="A42" s="27" t="s">
        <v>411</v>
      </c>
      <c r="C42" s="81"/>
    </row>
    <row r="43" spans="1:14" ht="15.75" customHeight="1" x14ac:dyDescent="0.25">
      <c r="A43" s="27" t="s">
        <v>412</v>
      </c>
      <c r="C43" s="82"/>
    </row>
    <row r="44" spans="1:14" ht="15.75" customHeight="1" x14ac:dyDescent="0.25">
      <c r="A44" s="27" t="s">
        <v>413</v>
      </c>
      <c r="C44" s="83"/>
    </row>
    <row r="45" spans="1:14" ht="15.75" customHeight="1" x14ac:dyDescent="0.25">
      <c r="A45" s="27" t="s">
        <v>414</v>
      </c>
      <c r="C45" s="81"/>
    </row>
    <row r="46" spans="1:14" ht="15.75" customHeight="1" x14ac:dyDescent="0.25">
      <c r="A46" s="27" t="s">
        <v>415</v>
      </c>
      <c r="C46" s="81"/>
    </row>
    <row r="47" spans="1:14" ht="15.75" customHeight="1" x14ac:dyDescent="0.25">
      <c r="A47" s="27" t="s">
        <v>416</v>
      </c>
      <c r="C47" s="82"/>
    </row>
    <row r="48" spans="1:14" ht="15.75" customHeight="1" x14ac:dyDescent="0.25">
      <c r="A48" s="27" t="s">
        <v>417</v>
      </c>
      <c r="C48" s="83"/>
    </row>
    <row r="49" spans="1:14" ht="15.75" customHeight="1" x14ac:dyDescent="0.25">
      <c r="A49" s="27" t="s">
        <v>418</v>
      </c>
      <c r="C49" s="84"/>
    </row>
    <row r="50" spans="1:14" ht="15.75" customHeight="1" x14ac:dyDescent="0.25">
      <c r="A50" s="27" t="s">
        <v>419</v>
      </c>
      <c r="C50" s="81"/>
    </row>
    <row r="51" spans="1:14" ht="15.75" customHeight="1" x14ac:dyDescent="0.25">
      <c r="A51" s="27" t="s">
        <v>420</v>
      </c>
      <c r="C51" s="80"/>
      <c r="D51" s="85"/>
    </row>
    <row r="57" spans="1:14" ht="19.5" customHeight="1" x14ac:dyDescent="0.2">
      <c r="A57" s="164" t="s">
        <v>421</v>
      </c>
      <c r="B57" s="164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</row>
    <row r="58" spans="1:14" ht="15" customHeight="1" x14ac:dyDescent="0.25">
      <c r="A58" s="67" t="s">
        <v>367</v>
      </c>
      <c r="C58" s="68" t="s">
        <v>368</v>
      </c>
      <c r="D58" s="68" t="s">
        <v>369</v>
      </c>
      <c r="E58" s="68" t="s">
        <v>370</v>
      </c>
      <c r="F58" s="68" t="s">
        <v>371</v>
      </c>
      <c r="G58" s="68" t="s">
        <v>372</v>
      </c>
      <c r="H58" s="68" t="s">
        <v>373</v>
      </c>
      <c r="I58" s="68" t="s">
        <v>374</v>
      </c>
      <c r="J58" s="68" t="s">
        <v>375</v>
      </c>
      <c r="K58" s="68" t="s">
        <v>376</v>
      </c>
      <c r="L58" s="68" t="s">
        <v>377</v>
      </c>
      <c r="M58" s="68" t="s">
        <v>378</v>
      </c>
      <c r="N58" s="69" t="s">
        <v>167</v>
      </c>
    </row>
    <row r="59" spans="1:14" ht="15" customHeight="1" x14ac:dyDescent="0.25">
      <c r="A59" s="27" t="s">
        <v>379</v>
      </c>
      <c r="C59" s="70">
        <v>0</v>
      </c>
      <c r="D59" s="71"/>
      <c r="E59" s="71"/>
      <c r="F59" s="71"/>
      <c r="G59" s="71"/>
      <c r="H59" s="71"/>
      <c r="I59" s="71"/>
      <c r="J59" s="71"/>
      <c r="K59" s="71"/>
      <c r="L59" s="71"/>
      <c r="M59" s="71"/>
    </row>
    <row r="60" spans="1:14" ht="15" customHeight="1" x14ac:dyDescent="0.25">
      <c r="A60" s="27" t="s">
        <v>380</v>
      </c>
      <c r="C60" s="70">
        <v>0</v>
      </c>
      <c r="D60" s="71"/>
      <c r="E60" s="71"/>
      <c r="F60" s="71"/>
      <c r="G60" s="71"/>
      <c r="H60" s="71"/>
      <c r="I60" s="71"/>
      <c r="J60" s="71"/>
      <c r="K60" s="71"/>
      <c r="L60" s="71"/>
      <c r="M60" s="71"/>
    </row>
    <row r="61" spans="1:14" ht="15" customHeight="1" x14ac:dyDescent="0.25">
      <c r="A61" s="27" t="s">
        <v>381</v>
      </c>
      <c r="C61" s="70">
        <v>0</v>
      </c>
      <c r="D61" s="71"/>
      <c r="E61" s="71"/>
      <c r="F61" s="71"/>
      <c r="G61" s="71"/>
      <c r="H61" s="71"/>
      <c r="I61" s="71"/>
      <c r="J61" s="71"/>
      <c r="K61" s="71"/>
      <c r="L61" s="71"/>
      <c r="M61" s="71"/>
    </row>
    <row r="62" spans="1:14" ht="15" customHeight="1" x14ac:dyDescent="0.25">
      <c r="A62" s="27" t="s">
        <v>382</v>
      </c>
      <c r="C62" s="70">
        <v>0</v>
      </c>
      <c r="D62" s="71"/>
      <c r="E62" s="71"/>
      <c r="F62" s="71"/>
      <c r="G62" s="71"/>
      <c r="H62" s="71"/>
      <c r="I62" s="71"/>
      <c r="J62" s="71"/>
      <c r="K62" s="71"/>
      <c r="L62" s="71"/>
      <c r="M62" s="71"/>
    </row>
    <row r="63" spans="1:14" ht="15" customHeight="1" x14ac:dyDescent="0.25">
      <c r="A63" s="27" t="s">
        <v>383</v>
      </c>
      <c r="C63" s="70">
        <v>0</v>
      </c>
      <c r="D63" s="71"/>
      <c r="E63" s="71"/>
      <c r="F63" s="71"/>
      <c r="G63" s="71"/>
      <c r="H63" s="71"/>
      <c r="I63" s="71"/>
      <c r="J63" s="71"/>
      <c r="K63" s="71"/>
      <c r="L63" s="71"/>
      <c r="M63" s="71"/>
    </row>
    <row r="64" spans="1:14" ht="15" customHeight="1" x14ac:dyDescent="0.25">
      <c r="A64" s="27" t="s">
        <v>384</v>
      </c>
      <c r="C64" s="70">
        <v>0</v>
      </c>
      <c r="D64" s="71"/>
      <c r="E64" s="71"/>
      <c r="F64" s="71"/>
      <c r="G64" s="71"/>
      <c r="H64" s="71"/>
      <c r="I64" s="71"/>
      <c r="J64" s="71"/>
      <c r="K64" s="71"/>
      <c r="L64" s="71"/>
      <c r="M64" s="71"/>
    </row>
    <row r="65" spans="1:14" ht="15" customHeight="1" x14ac:dyDescent="0.25">
      <c r="A65" s="72" t="s">
        <v>385</v>
      </c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</row>
    <row r="66" spans="1:14" ht="15" customHeight="1" x14ac:dyDescent="0.25">
      <c r="A66" s="27" t="s">
        <v>386</v>
      </c>
      <c r="C66" s="70">
        <v>0</v>
      </c>
      <c r="D66" s="71"/>
      <c r="E66" s="71"/>
      <c r="F66" s="71"/>
      <c r="G66" s="71"/>
      <c r="H66" s="71"/>
      <c r="I66" s="71"/>
      <c r="J66" s="71"/>
      <c r="K66" s="71"/>
      <c r="L66" s="71"/>
      <c r="M66" s="71"/>
    </row>
    <row r="67" spans="1:14" ht="15" customHeight="1" x14ac:dyDescent="0.25">
      <c r="A67" s="27" t="s">
        <v>387</v>
      </c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</row>
    <row r="68" spans="1:14" ht="15" customHeight="1" x14ac:dyDescent="0.25">
      <c r="A68" s="27" t="s">
        <v>388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</row>
    <row r="69" spans="1:14" ht="15" customHeight="1" x14ac:dyDescent="0.25">
      <c r="A69" s="27" t="s">
        <v>389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</row>
    <row r="70" spans="1:14" ht="15" customHeight="1" x14ac:dyDescent="0.25">
      <c r="A70" s="27" t="s">
        <v>390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</row>
    <row r="71" spans="1:14" ht="15" customHeight="1" x14ac:dyDescent="0.25">
      <c r="A71" s="27" t="s">
        <v>391</v>
      </c>
      <c r="C71" s="71"/>
      <c r="D71" s="70">
        <v>0</v>
      </c>
      <c r="E71" s="70">
        <v>0</v>
      </c>
      <c r="F71" s="70">
        <v>0</v>
      </c>
      <c r="G71" s="70">
        <v>0</v>
      </c>
      <c r="H71" s="70">
        <v>0</v>
      </c>
      <c r="I71" s="70">
        <v>0</v>
      </c>
      <c r="J71" s="70">
        <v>0</v>
      </c>
      <c r="K71" s="70">
        <v>0</v>
      </c>
      <c r="L71" s="70">
        <v>0</v>
      </c>
      <c r="M71" s="70">
        <v>0</v>
      </c>
    </row>
    <row r="72" spans="1:14" ht="15" customHeight="1" x14ac:dyDescent="0.25">
      <c r="A72" s="27" t="s">
        <v>392</v>
      </c>
      <c r="C72" s="71"/>
      <c r="D72" s="70">
        <v>0</v>
      </c>
      <c r="E72" s="70">
        <v>0</v>
      </c>
      <c r="F72" s="70">
        <v>0</v>
      </c>
      <c r="G72" s="70">
        <v>0</v>
      </c>
      <c r="H72" s="70">
        <v>0</v>
      </c>
      <c r="I72" s="70">
        <v>0</v>
      </c>
      <c r="J72" s="70">
        <v>0</v>
      </c>
      <c r="K72" s="70">
        <v>0</v>
      </c>
      <c r="L72" s="70">
        <v>0</v>
      </c>
      <c r="M72" s="70">
        <v>0</v>
      </c>
    </row>
    <row r="73" spans="1:14" ht="15" customHeight="1" x14ac:dyDescent="0.25">
      <c r="A73" s="27" t="s">
        <v>393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4"/>
    </row>
    <row r="74" spans="1:14" ht="25.5" customHeight="1" x14ac:dyDescent="0.25">
      <c r="A74" s="27" t="s">
        <v>394</v>
      </c>
      <c r="C74" s="70">
        <v>0</v>
      </c>
      <c r="D74" s="70">
        <v>0</v>
      </c>
      <c r="E74" s="70">
        <v>0</v>
      </c>
      <c r="F74" s="70">
        <v>0</v>
      </c>
      <c r="G74" s="70">
        <v>0</v>
      </c>
      <c r="H74" s="70">
        <v>0</v>
      </c>
      <c r="I74" s="70">
        <v>0</v>
      </c>
      <c r="J74" s="70">
        <v>0</v>
      </c>
      <c r="K74" s="70">
        <v>0</v>
      </c>
      <c r="L74" s="70">
        <v>0</v>
      </c>
      <c r="M74" s="71"/>
    </row>
    <row r="75" spans="1:14" ht="15" customHeight="1" x14ac:dyDescent="0.25">
      <c r="A75" s="72" t="s">
        <v>395</v>
      </c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</row>
    <row r="76" spans="1:14" ht="15" customHeight="1" x14ac:dyDescent="0.25">
      <c r="A76" s="27" t="s">
        <v>396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</row>
    <row r="77" spans="1:14" ht="15" customHeight="1" x14ac:dyDescent="0.25">
      <c r="A77" s="27" t="s">
        <v>397</v>
      </c>
      <c r="C77" s="75">
        <v>1</v>
      </c>
      <c r="D77" s="76"/>
      <c r="E77" s="76"/>
      <c r="F77" s="76"/>
      <c r="G77" s="76"/>
      <c r="H77" s="76"/>
      <c r="I77" s="76"/>
      <c r="J77" s="76"/>
      <c r="K77" s="76"/>
      <c r="L77" s="76"/>
      <c r="M77" s="76"/>
    </row>
    <row r="78" spans="1:14" ht="15" customHeight="1" x14ac:dyDescent="0.25">
      <c r="A78" s="27" t="s">
        <v>398</v>
      </c>
      <c r="C78" s="70">
        <v>0</v>
      </c>
      <c r="D78" s="71"/>
      <c r="E78" s="71"/>
      <c r="F78" s="71"/>
      <c r="G78" s="71"/>
      <c r="H78" s="71"/>
      <c r="I78" s="71"/>
      <c r="J78" s="71"/>
      <c r="K78" s="71"/>
      <c r="L78" s="71"/>
      <c r="M78" s="71"/>
    </row>
    <row r="79" spans="1:14" ht="15" customHeight="1" x14ac:dyDescent="0.25">
      <c r="A79" s="27" t="s">
        <v>399</v>
      </c>
      <c r="C79" s="70">
        <v>0</v>
      </c>
      <c r="D79" s="71"/>
      <c r="E79" s="71"/>
      <c r="F79" s="71"/>
      <c r="G79" s="71"/>
      <c r="H79" s="71"/>
      <c r="I79" s="71"/>
      <c r="J79" s="71"/>
      <c r="K79" s="71"/>
      <c r="L79" s="71"/>
      <c r="M79" s="71"/>
    </row>
    <row r="80" spans="1:14" ht="15" customHeight="1" x14ac:dyDescent="0.25">
      <c r="A80" s="27" t="s">
        <v>400</v>
      </c>
      <c r="C80" s="75">
        <v>0</v>
      </c>
      <c r="D80" s="76"/>
      <c r="E80" s="76"/>
      <c r="F80" s="76"/>
      <c r="G80" s="76"/>
      <c r="H80" s="76"/>
      <c r="I80" s="76"/>
      <c r="J80" s="76"/>
      <c r="K80" s="76"/>
      <c r="L80" s="76"/>
      <c r="M80" s="76"/>
    </row>
    <row r="81" spans="1:14" ht="15" customHeight="1" x14ac:dyDescent="0.25">
      <c r="A81" s="27" t="s">
        <v>401</v>
      </c>
      <c r="C81" s="70">
        <v>0</v>
      </c>
      <c r="D81" s="71"/>
      <c r="E81" s="71"/>
      <c r="F81" s="71"/>
      <c r="G81" s="71"/>
      <c r="H81" s="71"/>
      <c r="I81" s="71"/>
      <c r="J81" s="71"/>
      <c r="K81" s="71"/>
      <c r="L81" s="71"/>
      <c r="M81" s="71"/>
    </row>
    <row r="82" spans="1:14" ht="15" customHeight="1" x14ac:dyDescent="0.25">
      <c r="A82" s="27" t="s">
        <v>402</v>
      </c>
      <c r="C82" s="70">
        <v>0</v>
      </c>
      <c r="D82" s="71"/>
      <c r="E82" s="71"/>
      <c r="F82" s="71"/>
      <c r="G82" s="71"/>
      <c r="H82" s="71"/>
      <c r="I82" s="71"/>
      <c r="J82" s="71"/>
      <c r="K82" s="71"/>
      <c r="L82" s="71"/>
      <c r="M82" s="71"/>
    </row>
    <row r="83" spans="1:14" ht="15" customHeight="1" x14ac:dyDescent="0.25">
      <c r="A83" s="77" t="s">
        <v>403</v>
      </c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</row>
    <row r="84" spans="1:14" ht="15" customHeight="1" x14ac:dyDescent="0.25">
      <c r="A84" s="27" t="s">
        <v>404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</row>
    <row r="86" spans="1:14" ht="19.5" customHeight="1" x14ac:dyDescent="0.2">
      <c r="A86" s="165" t="s">
        <v>422</v>
      </c>
      <c r="B86" s="165"/>
      <c r="C86" s="165"/>
      <c r="D86" s="165"/>
      <c r="E86" s="165"/>
      <c r="F86" s="165"/>
      <c r="G86" s="165"/>
      <c r="H86" s="165"/>
      <c r="I86" s="165"/>
      <c r="J86" s="165"/>
      <c r="K86" s="165"/>
      <c r="L86" s="165"/>
      <c r="M86" s="165"/>
      <c r="N86" s="165"/>
    </row>
    <row r="87" spans="1:14" ht="15.75" customHeight="1" x14ac:dyDescent="0.25">
      <c r="A87" s="78" t="s">
        <v>406</v>
      </c>
      <c r="C87" s="79"/>
    </row>
    <row r="88" spans="1:14" ht="15.75" customHeight="1" x14ac:dyDescent="0.25">
      <c r="A88" s="27" t="s">
        <v>407</v>
      </c>
      <c r="C88" s="80"/>
    </row>
    <row r="89" spans="1:14" ht="15.75" customHeight="1" x14ac:dyDescent="0.25">
      <c r="A89" s="27" t="s">
        <v>408</v>
      </c>
      <c r="C89" s="80"/>
    </row>
    <row r="90" spans="1:14" ht="15.75" customHeight="1" x14ac:dyDescent="0.25">
      <c r="A90" s="78" t="s">
        <v>409</v>
      </c>
      <c r="C90" s="79"/>
    </row>
    <row r="91" spans="1:14" ht="15.75" customHeight="1" x14ac:dyDescent="0.25">
      <c r="A91" s="27" t="s">
        <v>410</v>
      </c>
      <c r="C91" s="81"/>
    </row>
    <row r="92" spans="1:14" ht="15.75" customHeight="1" x14ac:dyDescent="0.25">
      <c r="A92" s="27" t="s">
        <v>411</v>
      </c>
      <c r="C92" s="81"/>
    </row>
    <row r="93" spans="1:14" ht="15.75" customHeight="1" x14ac:dyDescent="0.25">
      <c r="A93" s="27" t="s">
        <v>412</v>
      </c>
      <c r="C93" s="82"/>
    </row>
    <row r="94" spans="1:14" ht="15.75" customHeight="1" x14ac:dyDescent="0.25">
      <c r="A94" s="27" t="s">
        <v>413</v>
      </c>
      <c r="C94" s="83"/>
    </row>
    <row r="95" spans="1:14" ht="15.75" customHeight="1" x14ac:dyDescent="0.25">
      <c r="A95" s="27" t="s">
        <v>414</v>
      </c>
      <c r="C95" s="81"/>
    </row>
    <row r="96" spans="1:14" ht="15.75" customHeight="1" x14ac:dyDescent="0.25">
      <c r="A96" s="27" t="s">
        <v>415</v>
      </c>
      <c r="C96" s="81"/>
    </row>
    <row r="97" spans="1:14" ht="15.75" customHeight="1" x14ac:dyDescent="0.25">
      <c r="A97" s="27" t="s">
        <v>416</v>
      </c>
      <c r="C97" s="82"/>
    </row>
    <row r="98" spans="1:14" ht="15.75" customHeight="1" x14ac:dyDescent="0.25">
      <c r="A98" s="27" t="s">
        <v>417</v>
      </c>
      <c r="C98" s="83"/>
    </row>
    <row r="99" spans="1:14" ht="15.75" customHeight="1" x14ac:dyDescent="0.25">
      <c r="A99" s="27" t="s">
        <v>418</v>
      </c>
      <c r="C99" s="84"/>
    </row>
    <row r="100" spans="1:14" ht="15.75" customHeight="1" x14ac:dyDescent="0.25">
      <c r="A100" s="27" t="s">
        <v>419</v>
      </c>
      <c r="C100" s="81"/>
    </row>
    <row r="101" spans="1:14" ht="15.75" customHeight="1" x14ac:dyDescent="0.25">
      <c r="A101" s="27" t="s">
        <v>420</v>
      </c>
      <c r="C101" s="80"/>
      <c r="D101" s="85"/>
    </row>
    <row r="107" spans="1:14" ht="19.5" customHeight="1" x14ac:dyDescent="0.2">
      <c r="A107" s="164" t="s">
        <v>423</v>
      </c>
      <c r="B107" s="164"/>
      <c r="C107" s="164"/>
      <c r="D107" s="164"/>
      <c r="E107" s="164"/>
      <c r="F107" s="164"/>
      <c r="G107" s="164"/>
      <c r="H107" s="164"/>
      <c r="I107" s="164"/>
      <c r="J107" s="164"/>
      <c r="K107" s="164"/>
      <c r="L107" s="164"/>
      <c r="M107" s="164"/>
      <c r="N107" s="164"/>
    </row>
    <row r="108" spans="1:14" ht="15" customHeight="1" x14ac:dyDescent="0.25">
      <c r="A108" s="67" t="s">
        <v>367</v>
      </c>
      <c r="C108" s="68" t="s">
        <v>368</v>
      </c>
      <c r="D108" s="68" t="s">
        <v>369</v>
      </c>
      <c r="E108" s="68" t="s">
        <v>370</v>
      </c>
      <c r="F108" s="68" t="s">
        <v>371</v>
      </c>
      <c r="G108" s="68" t="s">
        <v>372</v>
      </c>
      <c r="H108" s="68" t="s">
        <v>373</v>
      </c>
      <c r="I108" s="68" t="s">
        <v>374</v>
      </c>
      <c r="J108" s="68" t="s">
        <v>375</v>
      </c>
      <c r="K108" s="68" t="s">
        <v>376</v>
      </c>
      <c r="L108" s="68" t="s">
        <v>377</v>
      </c>
      <c r="M108" s="68" t="s">
        <v>378</v>
      </c>
      <c r="N108" s="69" t="s">
        <v>167</v>
      </c>
    </row>
    <row r="109" spans="1:14" ht="15" customHeight="1" x14ac:dyDescent="0.25">
      <c r="A109" s="27" t="s">
        <v>379</v>
      </c>
      <c r="C109" s="70">
        <v>0</v>
      </c>
      <c r="D109" s="71"/>
      <c r="E109" s="71"/>
      <c r="F109" s="71"/>
      <c r="G109" s="71"/>
      <c r="H109" s="71"/>
      <c r="I109" s="71"/>
      <c r="J109" s="71"/>
      <c r="K109" s="71"/>
      <c r="L109" s="71"/>
      <c r="M109" s="71"/>
    </row>
    <row r="110" spans="1:14" ht="15" customHeight="1" x14ac:dyDescent="0.25">
      <c r="A110" s="27" t="s">
        <v>380</v>
      </c>
      <c r="C110" s="70">
        <v>0</v>
      </c>
      <c r="D110" s="71"/>
      <c r="E110" s="71"/>
      <c r="F110" s="71"/>
      <c r="G110" s="71"/>
      <c r="H110" s="71"/>
      <c r="I110" s="71"/>
      <c r="J110" s="71"/>
      <c r="K110" s="71"/>
      <c r="L110" s="71"/>
      <c r="M110" s="71"/>
    </row>
    <row r="111" spans="1:14" ht="15" customHeight="1" x14ac:dyDescent="0.25">
      <c r="A111" s="27" t="s">
        <v>381</v>
      </c>
      <c r="C111" s="70">
        <v>0</v>
      </c>
      <c r="D111" s="71"/>
      <c r="E111" s="71"/>
      <c r="F111" s="71"/>
      <c r="G111" s="71"/>
      <c r="H111" s="71"/>
      <c r="I111" s="71"/>
      <c r="J111" s="71"/>
      <c r="K111" s="71"/>
      <c r="L111" s="71"/>
      <c r="M111" s="71"/>
    </row>
    <row r="112" spans="1:14" ht="15" customHeight="1" x14ac:dyDescent="0.25">
      <c r="A112" s="27" t="s">
        <v>382</v>
      </c>
      <c r="C112" s="70">
        <v>0</v>
      </c>
      <c r="D112" s="71"/>
      <c r="E112" s="71"/>
      <c r="F112" s="71"/>
      <c r="G112" s="71"/>
      <c r="H112" s="71"/>
      <c r="I112" s="71"/>
      <c r="J112" s="71"/>
      <c r="K112" s="71"/>
      <c r="L112" s="71"/>
      <c r="M112" s="71"/>
    </row>
    <row r="113" spans="1:14" ht="15" customHeight="1" x14ac:dyDescent="0.25">
      <c r="A113" s="27" t="s">
        <v>383</v>
      </c>
      <c r="C113" s="70">
        <v>0</v>
      </c>
      <c r="D113" s="71"/>
      <c r="E113" s="71"/>
      <c r="F113" s="71"/>
      <c r="G113" s="71"/>
      <c r="H113" s="71"/>
      <c r="I113" s="71"/>
      <c r="J113" s="71"/>
      <c r="K113" s="71"/>
      <c r="L113" s="71"/>
      <c r="M113" s="71"/>
    </row>
    <row r="114" spans="1:14" ht="15" customHeight="1" x14ac:dyDescent="0.25">
      <c r="A114" s="27" t="s">
        <v>384</v>
      </c>
      <c r="C114" s="70">
        <v>0</v>
      </c>
      <c r="D114" s="71"/>
      <c r="E114" s="71"/>
      <c r="F114" s="71"/>
      <c r="G114" s="71"/>
      <c r="H114" s="71"/>
      <c r="I114" s="71"/>
      <c r="J114" s="71"/>
      <c r="K114" s="71"/>
      <c r="L114" s="71"/>
      <c r="M114" s="71"/>
    </row>
    <row r="115" spans="1:14" ht="15" customHeight="1" x14ac:dyDescent="0.25">
      <c r="A115" s="72" t="s">
        <v>385</v>
      </c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</row>
    <row r="116" spans="1:14" ht="15" customHeight="1" x14ac:dyDescent="0.25">
      <c r="A116" s="27" t="s">
        <v>386</v>
      </c>
      <c r="C116" s="70">
        <v>0</v>
      </c>
      <c r="D116" s="71"/>
      <c r="E116" s="71"/>
      <c r="F116" s="71"/>
      <c r="G116" s="71"/>
      <c r="H116" s="71"/>
      <c r="I116" s="71"/>
      <c r="J116" s="71"/>
      <c r="K116" s="71"/>
      <c r="L116" s="71"/>
      <c r="M116" s="71"/>
    </row>
    <row r="117" spans="1:14" ht="15" customHeight="1" x14ac:dyDescent="0.25">
      <c r="A117" s="27" t="s">
        <v>387</v>
      </c>
      <c r="C117" s="71"/>
      <c r="D117" s="71"/>
      <c r="E117" s="71"/>
      <c r="F117" s="71"/>
      <c r="G117" s="71"/>
      <c r="H117" s="71"/>
      <c r="I117" s="71"/>
      <c r="J117" s="71"/>
      <c r="K117" s="71"/>
      <c r="L117" s="71"/>
      <c r="M117" s="71"/>
    </row>
    <row r="118" spans="1:14" ht="15" customHeight="1" x14ac:dyDescent="0.25">
      <c r="A118" s="27" t="s">
        <v>388</v>
      </c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</row>
    <row r="119" spans="1:14" ht="15" customHeight="1" x14ac:dyDescent="0.25">
      <c r="A119" s="27" t="s">
        <v>389</v>
      </c>
      <c r="C119" s="71"/>
      <c r="D119" s="71"/>
      <c r="E119" s="71"/>
      <c r="F119" s="71"/>
      <c r="G119" s="71"/>
      <c r="H119" s="71"/>
      <c r="I119" s="71"/>
      <c r="J119" s="71"/>
      <c r="K119" s="71"/>
      <c r="L119" s="71"/>
      <c r="M119" s="71"/>
    </row>
    <row r="120" spans="1:14" ht="15" customHeight="1" x14ac:dyDescent="0.25">
      <c r="A120" s="27" t="s">
        <v>390</v>
      </c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</row>
    <row r="121" spans="1:14" ht="15" customHeight="1" x14ac:dyDescent="0.25">
      <c r="A121" s="27" t="s">
        <v>391</v>
      </c>
      <c r="C121" s="71"/>
      <c r="D121" s="70">
        <v>0</v>
      </c>
      <c r="E121" s="70">
        <v>0</v>
      </c>
      <c r="F121" s="70">
        <v>0</v>
      </c>
      <c r="G121" s="70">
        <v>0</v>
      </c>
      <c r="H121" s="70">
        <v>0</v>
      </c>
      <c r="I121" s="70">
        <v>0</v>
      </c>
      <c r="J121" s="70">
        <v>0</v>
      </c>
      <c r="K121" s="70">
        <v>0</v>
      </c>
      <c r="L121" s="70">
        <v>0</v>
      </c>
      <c r="M121" s="70">
        <v>0</v>
      </c>
    </row>
    <row r="122" spans="1:14" ht="15" customHeight="1" x14ac:dyDescent="0.25">
      <c r="A122" s="27" t="s">
        <v>392</v>
      </c>
      <c r="C122" s="71"/>
      <c r="D122" s="70">
        <v>0</v>
      </c>
      <c r="E122" s="70">
        <v>0</v>
      </c>
      <c r="F122" s="70">
        <v>0</v>
      </c>
      <c r="G122" s="70">
        <v>0</v>
      </c>
      <c r="H122" s="70">
        <v>0</v>
      </c>
      <c r="I122" s="70">
        <v>0</v>
      </c>
      <c r="J122" s="70">
        <v>0</v>
      </c>
      <c r="K122" s="70">
        <v>0</v>
      </c>
      <c r="L122" s="70">
        <v>0</v>
      </c>
      <c r="M122" s="70">
        <v>0</v>
      </c>
    </row>
    <row r="123" spans="1:14" ht="15" customHeight="1" x14ac:dyDescent="0.25">
      <c r="A123" s="27" t="s">
        <v>393</v>
      </c>
      <c r="C123" s="71"/>
      <c r="D123" s="71"/>
      <c r="E123" s="71"/>
      <c r="F123" s="71"/>
      <c r="G123" s="71"/>
      <c r="H123" s="71"/>
      <c r="I123" s="71"/>
      <c r="J123" s="71"/>
      <c r="K123" s="71"/>
      <c r="L123" s="71"/>
      <c r="M123" s="71"/>
      <c r="N123" s="74"/>
    </row>
    <row r="124" spans="1:14" ht="25.5" customHeight="1" x14ac:dyDescent="0.25">
      <c r="A124" s="27" t="s">
        <v>394</v>
      </c>
      <c r="C124" s="70">
        <v>0</v>
      </c>
      <c r="D124" s="70">
        <v>0</v>
      </c>
      <c r="E124" s="70">
        <v>0</v>
      </c>
      <c r="F124" s="70">
        <v>0</v>
      </c>
      <c r="G124" s="70">
        <v>0</v>
      </c>
      <c r="H124" s="70">
        <v>0</v>
      </c>
      <c r="I124" s="70">
        <v>0</v>
      </c>
      <c r="J124" s="70">
        <v>0</v>
      </c>
      <c r="K124" s="70">
        <v>0</v>
      </c>
      <c r="L124" s="70">
        <v>0</v>
      </c>
      <c r="M124" s="71"/>
    </row>
    <row r="125" spans="1:14" ht="15" customHeight="1" x14ac:dyDescent="0.25">
      <c r="A125" s="72" t="s">
        <v>395</v>
      </c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73"/>
    </row>
    <row r="126" spans="1:14" ht="15" customHeight="1" x14ac:dyDescent="0.25">
      <c r="A126" s="27" t="s">
        <v>396</v>
      </c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1"/>
    </row>
    <row r="127" spans="1:14" ht="15" customHeight="1" x14ac:dyDescent="0.25">
      <c r="A127" s="27" t="s">
        <v>397</v>
      </c>
      <c r="C127" s="75">
        <v>1</v>
      </c>
      <c r="D127" s="76"/>
      <c r="E127" s="76"/>
      <c r="F127" s="76"/>
      <c r="G127" s="76"/>
      <c r="H127" s="76"/>
      <c r="I127" s="76"/>
      <c r="J127" s="76"/>
      <c r="K127" s="76"/>
      <c r="L127" s="76"/>
      <c r="M127" s="76"/>
    </row>
    <row r="128" spans="1:14" ht="15" customHeight="1" x14ac:dyDescent="0.25">
      <c r="A128" s="27" t="s">
        <v>398</v>
      </c>
      <c r="C128" s="70">
        <v>0</v>
      </c>
      <c r="D128" s="71"/>
      <c r="E128" s="71"/>
      <c r="F128" s="71"/>
      <c r="G128" s="71"/>
      <c r="H128" s="71"/>
      <c r="I128" s="71"/>
      <c r="J128" s="71"/>
      <c r="K128" s="71"/>
      <c r="L128" s="71"/>
      <c r="M128" s="71"/>
    </row>
    <row r="129" spans="1:14" ht="15" customHeight="1" x14ac:dyDescent="0.25">
      <c r="A129" s="27" t="s">
        <v>399</v>
      </c>
      <c r="C129" s="70">
        <v>0</v>
      </c>
      <c r="D129" s="71"/>
      <c r="E129" s="71"/>
      <c r="F129" s="71"/>
      <c r="G129" s="71"/>
      <c r="H129" s="71"/>
      <c r="I129" s="71"/>
      <c r="J129" s="71"/>
      <c r="K129" s="71"/>
      <c r="L129" s="71"/>
      <c r="M129" s="71"/>
    </row>
    <row r="130" spans="1:14" ht="15" customHeight="1" x14ac:dyDescent="0.25">
      <c r="A130" s="27" t="s">
        <v>400</v>
      </c>
      <c r="C130" s="75">
        <v>0</v>
      </c>
      <c r="D130" s="76"/>
      <c r="E130" s="76"/>
      <c r="F130" s="76"/>
      <c r="G130" s="76"/>
      <c r="H130" s="76"/>
      <c r="I130" s="76"/>
      <c r="J130" s="76"/>
      <c r="K130" s="76"/>
      <c r="L130" s="76"/>
      <c r="M130" s="76"/>
    </row>
    <row r="131" spans="1:14" ht="15" customHeight="1" x14ac:dyDescent="0.25">
      <c r="A131" s="27" t="s">
        <v>401</v>
      </c>
      <c r="C131" s="70">
        <v>0</v>
      </c>
      <c r="D131" s="71"/>
      <c r="E131" s="71"/>
      <c r="F131" s="71"/>
      <c r="G131" s="71"/>
      <c r="H131" s="71"/>
      <c r="I131" s="71"/>
      <c r="J131" s="71"/>
      <c r="K131" s="71"/>
      <c r="L131" s="71"/>
      <c r="M131" s="71"/>
    </row>
    <row r="132" spans="1:14" ht="15" customHeight="1" x14ac:dyDescent="0.25">
      <c r="A132" s="27" t="s">
        <v>402</v>
      </c>
      <c r="C132" s="70">
        <v>0</v>
      </c>
      <c r="D132" s="71"/>
      <c r="E132" s="71"/>
      <c r="F132" s="71"/>
      <c r="G132" s="71"/>
      <c r="H132" s="71"/>
      <c r="I132" s="71"/>
      <c r="J132" s="71"/>
      <c r="K132" s="71"/>
      <c r="L132" s="71"/>
      <c r="M132" s="71"/>
    </row>
    <row r="133" spans="1:14" ht="15" customHeight="1" x14ac:dyDescent="0.25">
      <c r="A133" s="77" t="s">
        <v>403</v>
      </c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</row>
    <row r="134" spans="1:14" ht="15" customHeight="1" x14ac:dyDescent="0.25">
      <c r="A134" s="27" t="s">
        <v>404</v>
      </c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1"/>
    </row>
    <row r="136" spans="1:14" ht="19.5" customHeight="1" x14ac:dyDescent="0.2">
      <c r="A136" s="165" t="s">
        <v>424</v>
      </c>
      <c r="B136" s="165"/>
      <c r="C136" s="165"/>
      <c r="D136" s="165"/>
      <c r="E136" s="165"/>
      <c r="F136" s="165"/>
      <c r="G136" s="165"/>
      <c r="H136" s="165"/>
      <c r="I136" s="165"/>
      <c r="J136" s="165"/>
      <c r="K136" s="165"/>
      <c r="L136" s="165"/>
      <c r="M136" s="165"/>
      <c r="N136" s="165"/>
    </row>
    <row r="137" spans="1:14" ht="15.75" customHeight="1" x14ac:dyDescent="0.25">
      <c r="A137" s="78" t="s">
        <v>406</v>
      </c>
      <c r="C137" s="79"/>
    </row>
    <row r="138" spans="1:14" ht="15.75" customHeight="1" x14ac:dyDescent="0.25">
      <c r="A138" s="27" t="s">
        <v>407</v>
      </c>
      <c r="C138" s="80"/>
    </row>
    <row r="139" spans="1:14" ht="15.75" customHeight="1" x14ac:dyDescent="0.25">
      <c r="A139" s="27" t="s">
        <v>408</v>
      </c>
      <c r="C139" s="80"/>
    </row>
    <row r="140" spans="1:14" ht="15.75" customHeight="1" x14ac:dyDescent="0.25">
      <c r="A140" s="78" t="s">
        <v>409</v>
      </c>
      <c r="C140" s="79"/>
    </row>
    <row r="141" spans="1:14" ht="15.75" customHeight="1" x14ac:dyDescent="0.25">
      <c r="A141" s="27" t="s">
        <v>410</v>
      </c>
      <c r="C141" s="81"/>
    </row>
    <row r="142" spans="1:14" ht="15.75" customHeight="1" x14ac:dyDescent="0.25">
      <c r="A142" s="27" t="s">
        <v>411</v>
      </c>
      <c r="C142" s="81"/>
    </row>
    <row r="143" spans="1:14" ht="15.75" customHeight="1" x14ac:dyDescent="0.25">
      <c r="A143" s="27" t="s">
        <v>412</v>
      </c>
      <c r="C143" s="82"/>
    </row>
    <row r="144" spans="1:14" ht="15.75" customHeight="1" x14ac:dyDescent="0.25">
      <c r="A144" s="27" t="s">
        <v>413</v>
      </c>
      <c r="C144" s="83"/>
    </row>
    <row r="145" spans="1:4" ht="15.75" customHeight="1" x14ac:dyDescent="0.25">
      <c r="A145" s="27" t="s">
        <v>414</v>
      </c>
      <c r="C145" s="81"/>
    </row>
    <row r="146" spans="1:4" ht="15.75" customHeight="1" x14ac:dyDescent="0.25">
      <c r="A146" s="27" t="s">
        <v>415</v>
      </c>
      <c r="C146" s="81"/>
    </row>
    <row r="147" spans="1:4" ht="15.75" customHeight="1" x14ac:dyDescent="0.25">
      <c r="A147" s="27" t="s">
        <v>416</v>
      </c>
      <c r="C147" s="82"/>
    </row>
    <row r="148" spans="1:4" ht="15.75" customHeight="1" x14ac:dyDescent="0.25">
      <c r="A148" s="27" t="s">
        <v>417</v>
      </c>
      <c r="C148" s="83"/>
    </row>
    <row r="149" spans="1:4" ht="15.75" customHeight="1" x14ac:dyDescent="0.25">
      <c r="A149" s="27" t="s">
        <v>418</v>
      </c>
      <c r="C149" s="84"/>
    </row>
    <row r="150" spans="1:4" ht="15.75" customHeight="1" x14ac:dyDescent="0.25">
      <c r="A150" s="27" t="s">
        <v>419</v>
      </c>
      <c r="C150" s="81"/>
    </row>
    <row r="151" spans="1:4" ht="15.75" customHeight="1" x14ac:dyDescent="0.25">
      <c r="A151" s="27" t="s">
        <v>420</v>
      </c>
      <c r="C151" s="80"/>
      <c r="D151" s="85"/>
    </row>
  </sheetData>
  <sheetProtection sheet="1" formatColumns="0" formatRows="0"/>
  <mergeCells count="8">
    <mergeCell ref="A86:N86"/>
    <mergeCell ref="A107:N107"/>
    <mergeCell ref="A136:N136"/>
    <mergeCell ref="A2:N2"/>
    <mergeCell ref="A3:N3"/>
    <mergeCell ref="A7:N7"/>
    <mergeCell ref="A36:N36"/>
    <mergeCell ref="A57:N57"/>
  </mergeCells>
  <conditionalFormatting sqref="D51">
    <cfRule type="cellIs" dxfId="35" priority="2" operator="equal">
      <formula>"FACTIBLE"</formula>
    </cfRule>
    <cfRule type="cellIs" dxfId="34" priority="3" operator="equal">
      <formula>"NO FACTIBLE"</formula>
    </cfRule>
  </conditionalFormatting>
  <conditionalFormatting sqref="D101">
    <cfRule type="cellIs" dxfId="33" priority="4" operator="equal">
      <formula>"FACTIBLE"</formula>
    </cfRule>
    <cfRule type="cellIs" dxfId="32" priority="5" operator="equal">
      <formula>"NO FACTIBLE"</formula>
    </cfRule>
  </conditionalFormatting>
  <conditionalFormatting sqref="D151">
    <cfRule type="cellIs" dxfId="31" priority="6" operator="equal">
      <formula>"FACTIBLE"</formula>
    </cfRule>
    <cfRule type="cellIs" dxfId="30" priority="7" operator="equal">
      <formula>"NO FACTIBLE"</formula>
    </cfRule>
  </conditionalFormatting>
  <pageMargins left="0.7" right="0.7" top="0.75" bottom="0.75" header="0.511811023622047" footer="0.511811023622047"/>
  <pageSetup paperSize="9" orientation="portrait" horizontalDpi="300" verticalDpi="30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41"/>
  <sheetViews>
    <sheetView zoomScaleNormal="100" workbookViewId="0"/>
  </sheetViews>
  <sheetFormatPr baseColWidth="10" defaultColWidth="8.7109375" defaultRowHeight="15" x14ac:dyDescent="0.25"/>
  <cols>
    <col min="1" max="1" width="52" style="32" customWidth="1"/>
    <col min="2" max="2" width="3" style="32" customWidth="1"/>
    <col min="3" max="13" width="12" style="32" customWidth="1"/>
  </cols>
  <sheetData>
    <row r="1" spans="1:13" ht="12.75" customHeight="1" x14ac:dyDescent="0.25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  <c r="I1" s="33"/>
      <c r="J1" s="33"/>
    </row>
    <row r="2" spans="1:13" ht="19.5" customHeight="1" x14ac:dyDescent="0.2">
      <c r="A2" s="162" t="s">
        <v>425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3" ht="96" customHeight="1" x14ac:dyDescent="0.2">
      <c r="A3" s="163" t="s">
        <v>426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</row>
    <row r="6" spans="1:13" ht="19.5" customHeight="1" x14ac:dyDescent="0.2">
      <c r="A6" s="166" t="s">
        <v>427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</row>
    <row r="7" spans="1:13" ht="15" customHeight="1" x14ac:dyDescent="0.25">
      <c r="A7" s="67" t="s">
        <v>367</v>
      </c>
      <c r="C7" s="69" t="s">
        <v>368</v>
      </c>
      <c r="D7" s="69" t="s">
        <v>369</v>
      </c>
      <c r="E7" s="69" t="s">
        <v>370</v>
      </c>
      <c r="F7" s="69" t="s">
        <v>371</v>
      </c>
      <c r="G7" s="69" t="s">
        <v>372</v>
      </c>
      <c r="H7" s="69" t="s">
        <v>373</v>
      </c>
      <c r="I7" s="69" t="s">
        <v>374</v>
      </c>
      <c r="J7" s="69" t="s">
        <v>375</v>
      </c>
      <c r="K7" s="69" t="s">
        <v>376</v>
      </c>
      <c r="L7" s="69" t="s">
        <v>377</v>
      </c>
      <c r="M7" s="69" t="s">
        <v>378</v>
      </c>
    </row>
    <row r="8" spans="1:13" ht="15.75" customHeight="1" x14ac:dyDescent="0.25">
      <c r="A8" s="27" t="s">
        <v>428</v>
      </c>
      <c r="C8" s="70">
        <v>0</v>
      </c>
      <c r="D8" s="71"/>
      <c r="E8" s="71"/>
      <c r="F8" s="71"/>
      <c r="G8" s="71"/>
      <c r="H8" s="71"/>
      <c r="I8" s="71"/>
      <c r="J8" s="71"/>
      <c r="K8" s="71"/>
      <c r="L8" s="71"/>
      <c r="M8" s="71"/>
    </row>
    <row r="9" spans="1:13" ht="15.75" customHeight="1" x14ac:dyDescent="0.25">
      <c r="A9" s="27" t="s">
        <v>429</v>
      </c>
      <c r="C9" s="70">
        <v>0</v>
      </c>
      <c r="D9" s="71"/>
      <c r="E9" s="71"/>
      <c r="F9" s="71"/>
      <c r="G9" s="71"/>
      <c r="H9" s="71"/>
      <c r="I9" s="71"/>
      <c r="J9" s="71"/>
      <c r="K9" s="71"/>
      <c r="L9" s="71"/>
      <c r="M9" s="71"/>
    </row>
    <row r="10" spans="1:13" ht="15.75" customHeight="1" x14ac:dyDescent="0.25">
      <c r="A10" s="27" t="s">
        <v>430</v>
      </c>
      <c r="C10" s="70">
        <v>0</v>
      </c>
      <c r="D10" s="71"/>
      <c r="E10" s="71"/>
      <c r="F10" s="71"/>
      <c r="G10" s="71"/>
      <c r="H10" s="71"/>
      <c r="I10" s="71"/>
      <c r="J10" s="71"/>
      <c r="K10" s="71"/>
      <c r="L10" s="71"/>
      <c r="M10" s="71"/>
    </row>
    <row r="11" spans="1:13" ht="15.75" customHeight="1" x14ac:dyDescent="0.25">
      <c r="A11" s="27" t="s">
        <v>431</v>
      </c>
      <c r="C11" s="70">
        <v>0</v>
      </c>
      <c r="D11" s="71"/>
      <c r="E11" s="71"/>
      <c r="F11" s="71"/>
      <c r="G11" s="71"/>
      <c r="H11" s="71"/>
      <c r="I11" s="71"/>
      <c r="J11" s="71"/>
      <c r="K11" s="71"/>
      <c r="L11" s="71"/>
      <c r="M11" s="71"/>
    </row>
    <row r="13" spans="1:13" ht="15.75" customHeight="1" x14ac:dyDescent="0.25">
      <c r="A13" s="27" t="s">
        <v>432</v>
      </c>
      <c r="C13" s="80"/>
    </row>
    <row r="14" spans="1:13" ht="15.75" customHeight="1" x14ac:dyDescent="0.25">
      <c r="A14" s="27" t="s">
        <v>433</v>
      </c>
      <c r="C14" s="80"/>
    </row>
    <row r="15" spans="1:13" ht="15.75" customHeight="1" x14ac:dyDescent="0.25">
      <c r="A15" s="27" t="s">
        <v>434</v>
      </c>
      <c r="C15" s="80"/>
    </row>
    <row r="16" spans="1:13" ht="15.75" customHeight="1" x14ac:dyDescent="0.25">
      <c r="A16" s="27" t="s">
        <v>435</v>
      </c>
      <c r="C16" s="80"/>
    </row>
    <row r="17" spans="1:13" ht="15.75" customHeight="1" x14ac:dyDescent="0.25">
      <c r="A17" s="78" t="s">
        <v>436</v>
      </c>
      <c r="C17" s="79"/>
    </row>
    <row r="18" spans="1:13" ht="15.75" customHeight="1" x14ac:dyDescent="0.25">
      <c r="A18" s="27" t="s">
        <v>437</v>
      </c>
      <c r="C18" s="84"/>
    </row>
    <row r="19" spans="1:13" ht="15.75" customHeight="1" x14ac:dyDescent="0.25">
      <c r="A19" s="27" t="s">
        <v>438</v>
      </c>
      <c r="C19" s="70">
        <v>0</v>
      </c>
      <c r="D19" s="71"/>
      <c r="E19" s="71"/>
      <c r="F19" s="71"/>
      <c r="G19" s="71"/>
      <c r="H19" s="71"/>
      <c r="I19" s="71"/>
      <c r="J19" s="71"/>
      <c r="K19" s="71"/>
      <c r="L19" s="71"/>
      <c r="M19" s="71"/>
    </row>
    <row r="20" spans="1:13" ht="15.75" customHeight="1" x14ac:dyDescent="0.25">
      <c r="A20" s="27" t="s">
        <v>439</v>
      </c>
      <c r="C20" s="80"/>
    </row>
    <row r="24" spans="1:13" ht="19.5" customHeight="1" x14ac:dyDescent="0.2">
      <c r="A24" s="166" t="s">
        <v>440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  <c r="L24" s="166"/>
      <c r="M24" s="166"/>
    </row>
    <row r="25" spans="1:13" ht="15" customHeight="1" x14ac:dyDescent="0.25">
      <c r="A25" s="67" t="s">
        <v>367</v>
      </c>
      <c r="C25" s="69" t="s">
        <v>368</v>
      </c>
      <c r="D25" s="69" t="s">
        <v>369</v>
      </c>
      <c r="E25" s="69" t="s">
        <v>370</v>
      </c>
      <c r="F25" s="69" t="s">
        <v>371</v>
      </c>
      <c r="G25" s="69" t="s">
        <v>372</v>
      </c>
      <c r="H25" s="69" t="s">
        <v>373</v>
      </c>
      <c r="I25" s="69" t="s">
        <v>374</v>
      </c>
      <c r="J25" s="69" t="s">
        <v>375</v>
      </c>
      <c r="K25" s="69" t="s">
        <v>376</v>
      </c>
      <c r="L25" s="69" t="s">
        <v>377</v>
      </c>
      <c r="M25" s="69" t="s">
        <v>378</v>
      </c>
    </row>
    <row r="26" spans="1:13" ht="15.75" customHeight="1" x14ac:dyDescent="0.25">
      <c r="A26" s="27" t="s">
        <v>428</v>
      </c>
      <c r="C26" s="70">
        <v>0</v>
      </c>
      <c r="D26" s="71"/>
      <c r="E26" s="71"/>
      <c r="F26" s="71"/>
      <c r="G26" s="71"/>
      <c r="H26" s="71"/>
      <c r="I26" s="71"/>
      <c r="J26" s="71"/>
      <c r="K26" s="71"/>
      <c r="L26" s="71"/>
      <c r="M26" s="71"/>
    </row>
    <row r="27" spans="1:13" ht="15.75" customHeight="1" x14ac:dyDescent="0.25">
      <c r="A27" s="27" t="s">
        <v>429</v>
      </c>
      <c r="C27" s="70">
        <v>0</v>
      </c>
      <c r="D27" s="71"/>
      <c r="E27" s="71"/>
      <c r="F27" s="71"/>
      <c r="G27" s="71"/>
      <c r="H27" s="71"/>
      <c r="I27" s="71"/>
      <c r="J27" s="71"/>
      <c r="K27" s="71"/>
      <c r="L27" s="71"/>
      <c r="M27" s="71"/>
    </row>
    <row r="28" spans="1:13" ht="15.75" customHeight="1" x14ac:dyDescent="0.25">
      <c r="A28" s="27" t="s">
        <v>430</v>
      </c>
      <c r="C28" s="70">
        <v>0</v>
      </c>
      <c r="D28" s="71"/>
      <c r="E28" s="71"/>
      <c r="F28" s="71"/>
      <c r="G28" s="71"/>
      <c r="H28" s="71"/>
      <c r="I28" s="71"/>
      <c r="J28" s="71"/>
      <c r="K28" s="71"/>
      <c r="L28" s="71"/>
      <c r="M28" s="71"/>
    </row>
    <row r="29" spans="1:13" ht="15.75" customHeight="1" x14ac:dyDescent="0.25">
      <c r="A29" s="27" t="s">
        <v>431</v>
      </c>
      <c r="C29" s="70">
        <v>0</v>
      </c>
      <c r="D29" s="71"/>
      <c r="E29" s="71"/>
      <c r="F29" s="71"/>
      <c r="G29" s="71"/>
      <c r="H29" s="71"/>
      <c r="I29" s="71"/>
      <c r="J29" s="71"/>
      <c r="K29" s="71"/>
      <c r="L29" s="71"/>
      <c r="M29" s="71"/>
    </row>
    <row r="31" spans="1:13" ht="15.75" customHeight="1" x14ac:dyDescent="0.25">
      <c r="A31" s="27" t="s">
        <v>432</v>
      </c>
      <c r="C31" s="80"/>
    </row>
    <row r="32" spans="1:13" ht="15.75" customHeight="1" x14ac:dyDescent="0.25">
      <c r="A32" s="27" t="s">
        <v>433</v>
      </c>
      <c r="C32" s="80"/>
    </row>
    <row r="33" spans="1:13" ht="15.75" customHeight="1" x14ac:dyDescent="0.25">
      <c r="A33" s="27" t="s">
        <v>434</v>
      </c>
      <c r="C33" s="80"/>
    </row>
    <row r="34" spans="1:13" ht="15.75" customHeight="1" x14ac:dyDescent="0.25">
      <c r="A34" s="27" t="s">
        <v>435</v>
      </c>
      <c r="C34" s="80"/>
    </row>
    <row r="35" spans="1:13" ht="15.75" customHeight="1" x14ac:dyDescent="0.25">
      <c r="A35" s="78" t="s">
        <v>436</v>
      </c>
      <c r="C35" s="79"/>
    </row>
    <row r="36" spans="1:13" ht="15.75" customHeight="1" x14ac:dyDescent="0.25">
      <c r="A36" s="27" t="s">
        <v>437</v>
      </c>
      <c r="C36" s="84"/>
    </row>
    <row r="37" spans="1:13" ht="15.75" customHeight="1" x14ac:dyDescent="0.25">
      <c r="A37" s="27" t="s">
        <v>438</v>
      </c>
      <c r="C37" s="70">
        <v>0</v>
      </c>
      <c r="D37" s="71"/>
      <c r="E37" s="71"/>
      <c r="F37" s="71"/>
      <c r="G37" s="71"/>
      <c r="H37" s="71"/>
      <c r="I37" s="71"/>
      <c r="J37" s="71"/>
      <c r="K37" s="71"/>
      <c r="L37" s="71"/>
      <c r="M37" s="71"/>
    </row>
    <row r="38" spans="1:13" ht="15.75" customHeight="1" x14ac:dyDescent="0.25">
      <c r="A38" s="27" t="s">
        <v>439</v>
      </c>
      <c r="C38" s="80"/>
    </row>
    <row r="42" spans="1:13" ht="19.5" customHeight="1" x14ac:dyDescent="0.2">
      <c r="A42" s="166" t="s">
        <v>441</v>
      </c>
      <c r="B42" s="166"/>
      <c r="C42" s="166"/>
      <c r="D42" s="166"/>
      <c r="E42" s="166"/>
      <c r="F42" s="166"/>
      <c r="G42" s="166"/>
      <c r="H42" s="166"/>
      <c r="I42" s="166"/>
      <c r="J42" s="166"/>
      <c r="K42" s="166"/>
      <c r="L42" s="166"/>
      <c r="M42" s="166"/>
    </row>
    <row r="43" spans="1:13" ht="15" customHeight="1" x14ac:dyDescent="0.25">
      <c r="A43" s="67" t="s">
        <v>367</v>
      </c>
      <c r="C43" s="69" t="s">
        <v>368</v>
      </c>
      <c r="D43" s="69" t="s">
        <v>369</v>
      </c>
      <c r="E43" s="69" t="s">
        <v>370</v>
      </c>
      <c r="F43" s="69" t="s">
        <v>371</v>
      </c>
      <c r="G43" s="69" t="s">
        <v>372</v>
      </c>
      <c r="H43" s="69" t="s">
        <v>373</v>
      </c>
      <c r="I43" s="69" t="s">
        <v>374</v>
      </c>
      <c r="J43" s="69" t="s">
        <v>375</v>
      </c>
      <c r="K43" s="69" t="s">
        <v>376</v>
      </c>
      <c r="L43" s="69" t="s">
        <v>377</v>
      </c>
      <c r="M43" s="69" t="s">
        <v>378</v>
      </c>
    </row>
    <row r="44" spans="1:13" ht="15.75" customHeight="1" x14ac:dyDescent="0.25">
      <c r="A44" s="27" t="s">
        <v>428</v>
      </c>
      <c r="C44" s="70">
        <v>0</v>
      </c>
      <c r="D44" s="71"/>
      <c r="E44" s="71"/>
      <c r="F44" s="71"/>
      <c r="G44" s="71"/>
      <c r="H44" s="71"/>
      <c r="I44" s="71"/>
      <c r="J44" s="71"/>
      <c r="K44" s="71"/>
      <c r="L44" s="71"/>
      <c r="M44" s="71"/>
    </row>
    <row r="45" spans="1:13" ht="15.75" customHeight="1" x14ac:dyDescent="0.25">
      <c r="A45" s="27" t="s">
        <v>429</v>
      </c>
      <c r="C45" s="70">
        <v>0</v>
      </c>
      <c r="D45" s="71"/>
      <c r="E45" s="71"/>
      <c r="F45" s="71"/>
      <c r="G45" s="71"/>
      <c r="H45" s="71"/>
      <c r="I45" s="71"/>
      <c r="J45" s="71"/>
      <c r="K45" s="71"/>
      <c r="L45" s="71"/>
      <c r="M45" s="71"/>
    </row>
    <row r="46" spans="1:13" ht="15.75" customHeight="1" x14ac:dyDescent="0.25">
      <c r="A46" s="27" t="s">
        <v>430</v>
      </c>
      <c r="C46" s="70">
        <v>0</v>
      </c>
      <c r="D46" s="71"/>
      <c r="E46" s="71"/>
      <c r="F46" s="71"/>
      <c r="G46" s="71"/>
      <c r="H46" s="71"/>
      <c r="I46" s="71"/>
      <c r="J46" s="71"/>
      <c r="K46" s="71"/>
      <c r="L46" s="71"/>
      <c r="M46" s="71"/>
    </row>
    <row r="47" spans="1:13" ht="15.75" customHeight="1" x14ac:dyDescent="0.25">
      <c r="A47" s="27" t="s">
        <v>431</v>
      </c>
      <c r="C47" s="70">
        <v>0</v>
      </c>
      <c r="D47" s="71"/>
      <c r="E47" s="71"/>
      <c r="F47" s="71"/>
      <c r="G47" s="71"/>
      <c r="H47" s="71"/>
      <c r="I47" s="71"/>
      <c r="J47" s="71"/>
      <c r="K47" s="71"/>
      <c r="L47" s="71"/>
      <c r="M47" s="71"/>
    </row>
    <row r="49" spans="1:13" ht="15.75" customHeight="1" x14ac:dyDescent="0.25">
      <c r="A49" s="27" t="s">
        <v>432</v>
      </c>
      <c r="C49" s="80"/>
    </row>
    <row r="50" spans="1:13" ht="15.75" customHeight="1" x14ac:dyDescent="0.25">
      <c r="A50" s="27" t="s">
        <v>433</v>
      </c>
      <c r="C50" s="80"/>
    </row>
    <row r="51" spans="1:13" ht="15.75" customHeight="1" x14ac:dyDescent="0.25">
      <c r="A51" s="27" t="s">
        <v>434</v>
      </c>
      <c r="C51" s="80"/>
    </row>
    <row r="52" spans="1:13" ht="15.75" customHeight="1" x14ac:dyDescent="0.25">
      <c r="A52" s="27" t="s">
        <v>435</v>
      </c>
      <c r="C52" s="80"/>
    </row>
    <row r="53" spans="1:13" ht="15.75" customHeight="1" x14ac:dyDescent="0.25">
      <c r="A53" s="78" t="s">
        <v>436</v>
      </c>
      <c r="C53" s="79"/>
    </row>
    <row r="54" spans="1:13" ht="15.75" customHeight="1" x14ac:dyDescent="0.25">
      <c r="A54" s="27" t="s">
        <v>437</v>
      </c>
      <c r="C54" s="84"/>
    </row>
    <row r="55" spans="1:13" ht="15.75" customHeight="1" x14ac:dyDescent="0.25">
      <c r="A55" s="27" t="s">
        <v>438</v>
      </c>
      <c r="C55" s="70">
        <v>0</v>
      </c>
      <c r="D55" s="71"/>
      <c r="E55" s="71"/>
      <c r="F55" s="71"/>
      <c r="G55" s="71"/>
      <c r="H55" s="71"/>
      <c r="I55" s="71"/>
      <c r="J55" s="71"/>
      <c r="K55" s="71"/>
      <c r="L55" s="71"/>
      <c r="M55" s="71"/>
    </row>
    <row r="56" spans="1:13" ht="15.75" customHeight="1" x14ac:dyDescent="0.25">
      <c r="A56" s="27" t="s">
        <v>439</v>
      </c>
      <c r="C56" s="80"/>
    </row>
    <row r="57" spans="1:13" ht="25.5" customHeight="1" x14ac:dyDescent="0.2">
      <c r="A57" s="6" t="s">
        <v>442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61" spans="1:13" ht="19.5" customHeight="1" x14ac:dyDescent="0.2">
      <c r="A61" s="162" t="s">
        <v>443</v>
      </c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</row>
    <row r="62" spans="1:13" ht="36" customHeight="1" x14ac:dyDescent="0.2">
      <c r="A62" s="167" t="s">
        <v>444</v>
      </c>
      <c r="B62" s="16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</row>
    <row r="65" spans="1:13" ht="19.5" customHeight="1" x14ac:dyDescent="0.2">
      <c r="A65" s="166" t="s">
        <v>445</v>
      </c>
      <c r="B65" s="166"/>
      <c r="C65" s="166"/>
      <c r="D65" s="166"/>
      <c r="E65" s="166"/>
      <c r="F65" s="166"/>
      <c r="G65" s="166"/>
      <c r="H65" s="166"/>
      <c r="I65" s="166"/>
      <c r="J65" s="166"/>
      <c r="K65" s="166"/>
      <c r="L65" s="166"/>
      <c r="M65" s="166"/>
    </row>
    <row r="66" spans="1:13" ht="15" customHeight="1" x14ac:dyDescent="0.25">
      <c r="A66" s="67" t="s">
        <v>446</v>
      </c>
      <c r="C66" s="69" t="s">
        <v>368</v>
      </c>
      <c r="D66" s="69" t="s">
        <v>369</v>
      </c>
      <c r="E66" s="69" t="s">
        <v>370</v>
      </c>
      <c r="F66" s="69" t="s">
        <v>371</v>
      </c>
      <c r="G66" s="69" t="s">
        <v>372</v>
      </c>
      <c r="H66" s="69" t="s">
        <v>373</v>
      </c>
      <c r="I66" s="69" t="s">
        <v>374</v>
      </c>
      <c r="J66" s="69" t="s">
        <v>375</v>
      </c>
      <c r="K66" s="69" t="s">
        <v>376</v>
      </c>
      <c r="L66" s="69" t="s">
        <v>377</v>
      </c>
      <c r="M66" s="69" t="s">
        <v>378</v>
      </c>
    </row>
    <row r="67" spans="1:13" ht="15.75" customHeight="1" x14ac:dyDescent="0.25">
      <c r="A67" s="27" t="s">
        <v>447</v>
      </c>
      <c r="C67" s="70">
        <v>0</v>
      </c>
      <c r="D67" s="71"/>
      <c r="E67" s="71"/>
      <c r="F67" s="71"/>
      <c r="G67" s="71"/>
      <c r="H67" s="71"/>
      <c r="I67" s="71"/>
      <c r="J67" s="71"/>
      <c r="K67" s="71"/>
      <c r="L67" s="71"/>
      <c r="M67" s="71"/>
    </row>
    <row r="68" spans="1:13" ht="15.75" customHeight="1" x14ac:dyDescent="0.25">
      <c r="A68" s="27" t="s">
        <v>448</v>
      </c>
      <c r="C68" s="70">
        <v>0</v>
      </c>
      <c r="D68" s="71"/>
      <c r="E68" s="71"/>
      <c r="F68" s="71"/>
      <c r="G68" s="71"/>
      <c r="H68" s="71"/>
      <c r="I68" s="71"/>
      <c r="J68" s="71"/>
      <c r="K68" s="71"/>
      <c r="L68" s="71"/>
      <c r="M68" s="71"/>
    </row>
    <row r="69" spans="1:13" ht="15.75" customHeight="1" x14ac:dyDescent="0.25">
      <c r="A69" s="27" t="s">
        <v>449</v>
      </c>
      <c r="C69" s="70">
        <v>0</v>
      </c>
      <c r="D69" s="71"/>
      <c r="E69" s="71"/>
      <c r="F69" s="71"/>
      <c r="G69" s="71"/>
      <c r="H69" s="71"/>
      <c r="I69" s="71"/>
      <c r="J69" s="71"/>
      <c r="K69" s="71"/>
      <c r="L69" s="71"/>
      <c r="M69" s="71"/>
    </row>
    <row r="70" spans="1:13" ht="15.75" customHeight="1" x14ac:dyDescent="0.25">
      <c r="A70" s="27" t="s">
        <v>450</v>
      </c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</row>
    <row r="72" spans="1:13" ht="15.75" customHeight="1" x14ac:dyDescent="0.25">
      <c r="A72" s="27" t="s">
        <v>451</v>
      </c>
      <c r="C72" s="80"/>
    </row>
    <row r="73" spans="1:13" ht="15.75" customHeight="1" x14ac:dyDescent="0.25">
      <c r="A73" s="27" t="s">
        <v>452</v>
      </c>
      <c r="C73" s="80"/>
    </row>
    <row r="74" spans="1:13" ht="15.75" customHeight="1" x14ac:dyDescent="0.25">
      <c r="A74" s="27" t="s">
        <v>453</v>
      </c>
      <c r="C74" s="80"/>
    </row>
    <row r="75" spans="1:13" ht="15.75" customHeight="1" x14ac:dyDescent="0.25">
      <c r="A75" s="27" t="s">
        <v>454</v>
      </c>
      <c r="C75" s="79"/>
    </row>
    <row r="76" spans="1:13" ht="15.75" customHeight="1" x14ac:dyDescent="0.25">
      <c r="A76" s="78" t="s">
        <v>455</v>
      </c>
      <c r="C76" s="79"/>
    </row>
    <row r="81" spans="1:13" ht="19.5" customHeight="1" x14ac:dyDescent="0.2">
      <c r="A81" s="166" t="s">
        <v>456</v>
      </c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</row>
    <row r="82" spans="1:13" ht="15" customHeight="1" x14ac:dyDescent="0.25">
      <c r="A82" s="67" t="s">
        <v>446</v>
      </c>
      <c r="C82" s="69" t="s">
        <v>368</v>
      </c>
      <c r="D82" s="69" t="s">
        <v>369</v>
      </c>
      <c r="E82" s="69" t="s">
        <v>370</v>
      </c>
      <c r="F82" s="69" t="s">
        <v>371</v>
      </c>
      <c r="G82" s="69" t="s">
        <v>372</v>
      </c>
      <c r="H82" s="69" t="s">
        <v>373</v>
      </c>
      <c r="I82" s="69" t="s">
        <v>374</v>
      </c>
      <c r="J82" s="69" t="s">
        <v>375</v>
      </c>
      <c r="K82" s="69" t="s">
        <v>376</v>
      </c>
      <c r="L82" s="69" t="s">
        <v>377</v>
      </c>
      <c r="M82" s="69" t="s">
        <v>378</v>
      </c>
    </row>
    <row r="83" spans="1:13" ht="15.75" customHeight="1" x14ac:dyDescent="0.25">
      <c r="A83" s="27" t="s">
        <v>447</v>
      </c>
      <c r="C83" s="70">
        <v>0</v>
      </c>
      <c r="D83" s="71"/>
      <c r="E83" s="71"/>
      <c r="F83" s="71"/>
      <c r="G83" s="71"/>
      <c r="H83" s="71"/>
      <c r="I83" s="71"/>
      <c r="J83" s="71"/>
      <c r="K83" s="71"/>
      <c r="L83" s="71"/>
      <c r="M83" s="71"/>
    </row>
    <row r="84" spans="1:13" ht="15.75" customHeight="1" x14ac:dyDescent="0.25">
      <c r="A84" s="27" t="s">
        <v>448</v>
      </c>
      <c r="C84" s="70">
        <v>0</v>
      </c>
      <c r="D84" s="71"/>
      <c r="E84" s="71"/>
      <c r="F84" s="71"/>
      <c r="G84" s="71"/>
      <c r="H84" s="71"/>
      <c r="I84" s="71"/>
      <c r="J84" s="71"/>
      <c r="K84" s="71"/>
      <c r="L84" s="71"/>
      <c r="M84" s="71"/>
    </row>
    <row r="85" spans="1:13" ht="15.75" customHeight="1" x14ac:dyDescent="0.25">
      <c r="A85" s="27" t="s">
        <v>449</v>
      </c>
      <c r="C85" s="70">
        <v>0</v>
      </c>
      <c r="D85" s="71"/>
      <c r="E85" s="71"/>
      <c r="F85" s="71"/>
      <c r="G85" s="71"/>
      <c r="H85" s="71"/>
      <c r="I85" s="71"/>
      <c r="J85" s="71"/>
      <c r="K85" s="71"/>
      <c r="L85" s="71"/>
      <c r="M85" s="71"/>
    </row>
    <row r="86" spans="1:13" ht="15.75" customHeight="1" x14ac:dyDescent="0.25">
      <c r="A86" s="27" t="s">
        <v>450</v>
      </c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</row>
    <row r="88" spans="1:13" ht="15.75" customHeight="1" x14ac:dyDescent="0.25">
      <c r="A88" s="27" t="s">
        <v>451</v>
      </c>
      <c r="C88" s="80"/>
    </row>
    <row r="89" spans="1:13" ht="15.75" customHeight="1" x14ac:dyDescent="0.25">
      <c r="A89" s="27" t="s">
        <v>452</v>
      </c>
      <c r="C89" s="80"/>
    </row>
    <row r="90" spans="1:13" ht="15.75" customHeight="1" x14ac:dyDescent="0.25">
      <c r="A90" s="27" t="s">
        <v>453</v>
      </c>
      <c r="C90" s="80"/>
    </row>
    <row r="91" spans="1:13" ht="15.75" customHeight="1" x14ac:dyDescent="0.25">
      <c r="A91" s="27" t="s">
        <v>454</v>
      </c>
      <c r="C91" s="79"/>
    </row>
    <row r="92" spans="1:13" ht="15.75" customHeight="1" x14ac:dyDescent="0.25">
      <c r="A92" s="78" t="s">
        <v>455</v>
      </c>
      <c r="C92" s="79"/>
    </row>
    <row r="97" spans="1:13" ht="19.5" customHeight="1" x14ac:dyDescent="0.2">
      <c r="A97" s="166" t="s">
        <v>457</v>
      </c>
      <c r="B97" s="166"/>
      <c r="C97" s="166"/>
      <c r="D97" s="166"/>
      <c r="E97" s="166"/>
      <c r="F97" s="166"/>
      <c r="G97" s="166"/>
      <c r="H97" s="166"/>
      <c r="I97" s="166"/>
      <c r="J97" s="166"/>
      <c r="K97" s="166"/>
      <c r="L97" s="166"/>
      <c r="M97" s="166"/>
    </row>
    <row r="98" spans="1:13" ht="15" customHeight="1" x14ac:dyDescent="0.25">
      <c r="A98" s="67" t="s">
        <v>446</v>
      </c>
      <c r="C98" s="69" t="s">
        <v>368</v>
      </c>
      <c r="D98" s="69" t="s">
        <v>369</v>
      </c>
      <c r="E98" s="69" t="s">
        <v>370</v>
      </c>
      <c r="F98" s="69" t="s">
        <v>371</v>
      </c>
      <c r="G98" s="69" t="s">
        <v>372</v>
      </c>
      <c r="H98" s="69" t="s">
        <v>373</v>
      </c>
      <c r="I98" s="69" t="s">
        <v>374</v>
      </c>
      <c r="J98" s="69" t="s">
        <v>375</v>
      </c>
      <c r="K98" s="69" t="s">
        <v>376</v>
      </c>
      <c r="L98" s="69" t="s">
        <v>377</v>
      </c>
      <c r="M98" s="69" t="s">
        <v>378</v>
      </c>
    </row>
    <row r="99" spans="1:13" ht="15.75" customHeight="1" x14ac:dyDescent="0.25">
      <c r="A99" s="27" t="s">
        <v>447</v>
      </c>
      <c r="C99" s="70">
        <v>0</v>
      </c>
      <c r="D99" s="71"/>
      <c r="E99" s="71"/>
      <c r="F99" s="71"/>
      <c r="G99" s="71"/>
      <c r="H99" s="71"/>
      <c r="I99" s="71"/>
      <c r="J99" s="71"/>
      <c r="K99" s="71"/>
      <c r="L99" s="71"/>
      <c r="M99" s="71"/>
    </row>
    <row r="100" spans="1:13" ht="15.75" customHeight="1" x14ac:dyDescent="0.25">
      <c r="A100" s="27" t="s">
        <v>448</v>
      </c>
      <c r="C100" s="70">
        <v>0</v>
      </c>
      <c r="D100" s="71"/>
      <c r="E100" s="71"/>
      <c r="F100" s="71"/>
      <c r="G100" s="71"/>
      <c r="H100" s="71"/>
      <c r="I100" s="71"/>
      <c r="J100" s="71"/>
      <c r="K100" s="71"/>
      <c r="L100" s="71"/>
      <c r="M100" s="71"/>
    </row>
    <row r="101" spans="1:13" ht="15.75" customHeight="1" x14ac:dyDescent="0.25">
      <c r="A101" s="27" t="s">
        <v>449</v>
      </c>
      <c r="C101" s="70">
        <v>0</v>
      </c>
      <c r="D101" s="71"/>
      <c r="E101" s="71"/>
      <c r="F101" s="71"/>
      <c r="G101" s="71"/>
      <c r="H101" s="71"/>
      <c r="I101" s="71"/>
      <c r="J101" s="71"/>
      <c r="K101" s="71"/>
      <c r="L101" s="71"/>
      <c r="M101" s="71"/>
    </row>
    <row r="102" spans="1:13" ht="15.75" customHeight="1" x14ac:dyDescent="0.25">
      <c r="A102" s="27" t="s">
        <v>450</v>
      </c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</row>
    <row r="104" spans="1:13" ht="15.75" customHeight="1" x14ac:dyDescent="0.25">
      <c r="A104" s="27" t="s">
        <v>451</v>
      </c>
      <c r="C104" s="80"/>
    </row>
    <row r="105" spans="1:13" ht="15.75" customHeight="1" x14ac:dyDescent="0.25">
      <c r="A105" s="27" t="s">
        <v>452</v>
      </c>
      <c r="C105" s="80"/>
    </row>
    <row r="106" spans="1:13" ht="15.75" customHeight="1" x14ac:dyDescent="0.25">
      <c r="A106" s="27" t="s">
        <v>453</v>
      </c>
      <c r="C106" s="80"/>
    </row>
    <row r="107" spans="1:13" ht="15.75" customHeight="1" x14ac:dyDescent="0.25">
      <c r="A107" s="27" t="s">
        <v>454</v>
      </c>
      <c r="C107" s="79"/>
    </row>
    <row r="108" spans="1:13" ht="15.75" customHeight="1" x14ac:dyDescent="0.25">
      <c r="A108" s="78" t="s">
        <v>455</v>
      </c>
      <c r="C108" s="79"/>
    </row>
    <row r="113" spans="1:13" ht="19.5" customHeight="1" x14ac:dyDescent="0.2">
      <c r="A113" s="8" t="s">
        <v>458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13" ht="15" customHeight="1" x14ac:dyDescent="0.25">
      <c r="A114" s="54" t="s">
        <v>459</v>
      </c>
      <c r="B114" s="54" t="s">
        <v>460</v>
      </c>
      <c r="C114" s="54" t="s">
        <v>461</v>
      </c>
      <c r="D114" s="54" t="s">
        <v>462</v>
      </c>
      <c r="E114" s="54" t="s">
        <v>463</v>
      </c>
    </row>
    <row r="115" spans="1:13" ht="21.75" customHeight="1" x14ac:dyDescent="0.25">
      <c r="A115" s="86" t="s">
        <v>464</v>
      </c>
      <c r="B115" s="86" t="s">
        <v>465</v>
      </c>
      <c r="C115" s="86" t="s">
        <v>466</v>
      </c>
      <c r="D115" s="86" t="s">
        <v>467</v>
      </c>
      <c r="E115" s="86" t="s">
        <v>468</v>
      </c>
    </row>
    <row r="116" spans="1:13" ht="21.75" customHeight="1" x14ac:dyDescent="0.25">
      <c r="A116" s="86" t="s">
        <v>469</v>
      </c>
      <c r="B116" s="86" t="s">
        <v>470</v>
      </c>
      <c r="C116" s="86" t="s">
        <v>471</v>
      </c>
      <c r="D116" s="86" t="s">
        <v>472</v>
      </c>
      <c r="E116" s="86" t="s">
        <v>473</v>
      </c>
    </row>
    <row r="117" spans="1:13" ht="21.75" customHeight="1" x14ac:dyDescent="0.25">
      <c r="A117" s="86" t="s">
        <v>474</v>
      </c>
      <c r="B117" s="86" t="s">
        <v>475</v>
      </c>
      <c r="C117" s="86" t="s">
        <v>476</v>
      </c>
      <c r="D117" s="86" t="s">
        <v>472</v>
      </c>
      <c r="E117" s="86" t="s">
        <v>477</v>
      </c>
    </row>
    <row r="118" spans="1:13" ht="21.75" customHeight="1" x14ac:dyDescent="0.25">
      <c r="A118" s="86" t="s">
        <v>478</v>
      </c>
      <c r="B118" s="86" t="s">
        <v>479</v>
      </c>
      <c r="C118" s="86" t="s">
        <v>466</v>
      </c>
      <c r="D118" s="86" t="s">
        <v>467</v>
      </c>
      <c r="E118" s="86" t="s">
        <v>468</v>
      </c>
    </row>
    <row r="119" spans="1:13" ht="21.75" customHeight="1" x14ac:dyDescent="0.25">
      <c r="A119" s="86" t="s">
        <v>480</v>
      </c>
      <c r="B119" s="86" t="s">
        <v>481</v>
      </c>
      <c r="C119" s="86" t="s">
        <v>482</v>
      </c>
      <c r="D119" s="86" t="s">
        <v>472</v>
      </c>
      <c r="E119" s="86" t="s">
        <v>483</v>
      </c>
    </row>
    <row r="120" spans="1:13" ht="21.75" customHeight="1" x14ac:dyDescent="0.25">
      <c r="A120" s="86" t="s">
        <v>484</v>
      </c>
      <c r="B120" s="86" t="s">
        <v>485</v>
      </c>
      <c r="C120" s="86" t="s">
        <v>486</v>
      </c>
      <c r="D120" s="86" t="s">
        <v>472</v>
      </c>
      <c r="E120" s="86" t="s">
        <v>487</v>
      </c>
    </row>
    <row r="121" spans="1:13" ht="21.75" customHeight="1" x14ac:dyDescent="0.25">
      <c r="A121" s="86" t="s">
        <v>488</v>
      </c>
      <c r="B121" s="86" t="s">
        <v>489</v>
      </c>
      <c r="C121" s="86" t="s">
        <v>490</v>
      </c>
      <c r="D121" s="86"/>
      <c r="E121" s="86" t="s">
        <v>491</v>
      </c>
    </row>
    <row r="123" spans="1:13" ht="19.5" customHeight="1" x14ac:dyDescent="0.2">
      <c r="A123" s="8" t="s">
        <v>492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spans="1:13" ht="15" customHeight="1" x14ac:dyDescent="0.25">
      <c r="A124" s="54" t="s">
        <v>493</v>
      </c>
      <c r="B124" s="54" t="s">
        <v>494</v>
      </c>
      <c r="C124" s="54" t="s">
        <v>495</v>
      </c>
      <c r="D124" s="54" t="s">
        <v>496</v>
      </c>
      <c r="E124" s="54" t="s">
        <v>497</v>
      </c>
      <c r="F124" s="54" t="s">
        <v>498</v>
      </c>
      <c r="G124" s="54" t="s">
        <v>499</v>
      </c>
      <c r="H124" s="54" t="s">
        <v>500</v>
      </c>
    </row>
    <row r="125" spans="1:13" ht="21.75" customHeight="1" x14ac:dyDescent="0.2">
      <c r="A125" s="86" t="s">
        <v>501</v>
      </c>
      <c r="B125" s="87"/>
      <c r="C125" s="88"/>
      <c r="D125" s="89"/>
      <c r="E125" s="90"/>
      <c r="F125" s="90"/>
      <c r="G125" s="91"/>
      <c r="H125" s="168" t="s">
        <v>502</v>
      </c>
      <c r="I125" s="168"/>
      <c r="J125" s="168"/>
      <c r="K125" s="168"/>
      <c r="L125" s="168"/>
      <c r="M125" s="168"/>
    </row>
    <row r="126" spans="1:13" ht="21.75" customHeight="1" x14ac:dyDescent="0.2">
      <c r="A126" s="86" t="s">
        <v>503</v>
      </c>
      <c r="B126" s="87"/>
      <c r="C126" s="88"/>
      <c r="D126" s="89"/>
      <c r="E126" s="90"/>
      <c r="F126" s="90"/>
      <c r="G126" s="91"/>
      <c r="H126" s="168" t="s">
        <v>504</v>
      </c>
      <c r="I126" s="168"/>
      <c r="J126" s="168"/>
      <c r="K126" s="168"/>
      <c r="L126" s="168"/>
      <c r="M126" s="168"/>
    </row>
    <row r="127" spans="1:13" ht="21.75" customHeight="1" x14ac:dyDescent="0.2">
      <c r="A127" s="86" t="s">
        <v>505</v>
      </c>
      <c r="B127" s="87"/>
      <c r="C127" s="88"/>
      <c r="D127" s="89"/>
      <c r="E127" s="90"/>
      <c r="F127" s="90"/>
      <c r="G127" s="91"/>
      <c r="H127" s="168" t="s">
        <v>506</v>
      </c>
      <c r="I127" s="168"/>
      <c r="J127" s="168"/>
      <c r="K127" s="168"/>
      <c r="L127" s="168"/>
      <c r="M127" s="168"/>
    </row>
    <row r="128" spans="1:13" ht="21.75" customHeight="1" x14ac:dyDescent="0.2">
      <c r="A128" s="86" t="s">
        <v>507</v>
      </c>
      <c r="B128" s="87"/>
      <c r="C128" s="88"/>
      <c r="D128" s="89"/>
      <c r="E128" s="38"/>
      <c r="F128" s="38"/>
      <c r="G128" s="38"/>
      <c r="H128" s="168" t="s">
        <v>508</v>
      </c>
      <c r="I128" s="168"/>
      <c r="J128" s="168"/>
      <c r="K128" s="168"/>
      <c r="L128" s="168"/>
      <c r="M128" s="168"/>
    </row>
    <row r="129" spans="1:13" ht="21.75" customHeight="1" x14ac:dyDescent="0.2">
      <c r="A129" s="86" t="s">
        <v>509</v>
      </c>
      <c r="B129" s="87"/>
      <c r="C129" s="88"/>
      <c r="D129" s="89"/>
      <c r="E129" s="38"/>
      <c r="F129" s="38"/>
      <c r="G129" s="38"/>
      <c r="H129" s="168" t="s">
        <v>510</v>
      </c>
      <c r="I129" s="168"/>
      <c r="J129" s="168"/>
      <c r="K129" s="168"/>
      <c r="L129" s="168"/>
      <c r="M129" s="168"/>
    </row>
    <row r="130" spans="1:13" ht="21.75" customHeight="1" x14ac:dyDescent="0.2">
      <c r="A130" s="86" t="s">
        <v>511</v>
      </c>
      <c r="B130" s="87"/>
      <c r="C130" s="88"/>
      <c r="D130" s="89"/>
      <c r="E130" s="38"/>
      <c r="F130" s="38"/>
      <c r="G130" s="38"/>
      <c r="H130" s="168" t="s">
        <v>512</v>
      </c>
      <c r="I130" s="168"/>
      <c r="J130" s="168"/>
      <c r="K130" s="168"/>
      <c r="L130" s="168"/>
      <c r="M130" s="168"/>
    </row>
    <row r="131" spans="1:13" ht="21.75" customHeight="1" x14ac:dyDescent="0.2">
      <c r="A131" s="86" t="s">
        <v>513</v>
      </c>
      <c r="B131" s="87"/>
      <c r="C131" s="88"/>
      <c r="D131" s="89"/>
      <c r="E131" s="38"/>
      <c r="F131" s="38"/>
      <c r="G131" s="38"/>
      <c r="H131" s="168" t="s">
        <v>514</v>
      </c>
      <c r="I131" s="168"/>
      <c r="J131" s="168"/>
      <c r="K131" s="168"/>
      <c r="L131" s="168"/>
      <c r="M131" s="168"/>
    </row>
    <row r="132" spans="1:13" ht="19.5" customHeight="1" x14ac:dyDescent="0.25">
      <c r="A132" s="92" t="s">
        <v>515</v>
      </c>
      <c r="D132" s="89"/>
      <c r="H132" s="168" t="s">
        <v>516</v>
      </c>
      <c r="I132" s="168"/>
      <c r="J132" s="168"/>
      <c r="K132" s="168"/>
      <c r="L132" s="168"/>
      <c r="M132" s="168"/>
    </row>
    <row r="134" spans="1:13" ht="19.5" customHeight="1" x14ac:dyDescent="0.2">
      <c r="A134" s="8" t="s">
        <v>517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spans="1:13" ht="15" customHeight="1" x14ac:dyDescent="0.25">
      <c r="A135" s="53" t="s">
        <v>518</v>
      </c>
      <c r="B135" s="54" t="s">
        <v>200</v>
      </c>
      <c r="C135" s="54" t="s">
        <v>201</v>
      </c>
      <c r="D135" s="54" t="s">
        <v>202</v>
      </c>
    </row>
    <row r="136" spans="1:13" ht="18" customHeight="1" x14ac:dyDescent="0.25">
      <c r="A136" s="86" t="s">
        <v>519</v>
      </c>
      <c r="B136" s="93"/>
      <c r="C136" s="93"/>
      <c r="D136" s="93"/>
    </row>
    <row r="137" spans="1:13" ht="18" customHeight="1" x14ac:dyDescent="0.25">
      <c r="A137" s="86" t="s">
        <v>520</v>
      </c>
      <c r="B137" s="93"/>
      <c r="C137" s="93"/>
      <c r="D137" s="93"/>
    </row>
    <row r="138" spans="1:13" ht="18" customHeight="1" x14ac:dyDescent="0.25">
      <c r="A138" s="86" t="s">
        <v>521</v>
      </c>
      <c r="B138" s="93"/>
      <c r="C138" s="93"/>
      <c r="D138" s="93"/>
    </row>
    <row r="139" spans="1:13" ht="18" customHeight="1" x14ac:dyDescent="0.25">
      <c r="A139" s="86" t="s">
        <v>522</v>
      </c>
      <c r="B139" s="93"/>
      <c r="C139" s="93"/>
      <c r="D139" s="93"/>
    </row>
    <row r="140" spans="1:13" ht="18" customHeight="1" x14ac:dyDescent="0.25">
      <c r="A140" s="86" t="s">
        <v>523</v>
      </c>
      <c r="B140" s="94"/>
      <c r="C140" s="94"/>
      <c r="D140" s="94"/>
    </row>
    <row r="141" spans="1:13" ht="21.75" customHeight="1" x14ac:dyDescent="0.2">
      <c r="A141" s="3" t="s">
        <v>524</v>
      </c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</row>
  </sheetData>
  <sheetProtection sheet="1" formatColumns="0" formatRows="0"/>
  <mergeCells count="23">
    <mergeCell ref="H132:M132"/>
    <mergeCell ref="A134:M134"/>
    <mergeCell ref="A141:M141"/>
    <mergeCell ref="H127:M127"/>
    <mergeCell ref="H128:M128"/>
    <mergeCell ref="H129:M129"/>
    <mergeCell ref="H130:M130"/>
    <mergeCell ref="H131:M131"/>
    <mergeCell ref="A97:M97"/>
    <mergeCell ref="A113:M113"/>
    <mergeCell ref="A123:M123"/>
    <mergeCell ref="H125:M125"/>
    <mergeCell ref="H126:M126"/>
    <mergeCell ref="A57:M57"/>
    <mergeCell ref="A61:M61"/>
    <mergeCell ref="A62:M62"/>
    <mergeCell ref="A65:M65"/>
    <mergeCell ref="A81:M81"/>
    <mergeCell ref="A2:M2"/>
    <mergeCell ref="A3:M3"/>
    <mergeCell ref="A6:M6"/>
    <mergeCell ref="A24:M24"/>
    <mergeCell ref="A42:M42"/>
  </mergeCells>
  <pageMargins left="0.7" right="0.7" top="0.75" bottom="0.75" header="0.511811023622047" footer="0.511811023622047"/>
  <pageSetup paperSize="9" orientation="portrait" horizontalDpi="300" verticalDpi="30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85"/>
  <sheetViews>
    <sheetView zoomScaleNormal="100" workbookViewId="0"/>
  </sheetViews>
  <sheetFormatPr baseColWidth="10" defaultColWidth="8.7109375" defaultRowHeight="15" x14ac:dyDescent="0.25"/>
  <cols>
    <col min="1" max="1" width="46" style="32" customWidth="1"/>
    <col min="2" max="4" width="16" style="32" customWidth="1"/>
    <col min="5" max="5" width="13" style="32" customWidth="1"/>
    <col min="6" max="6" width="14" style="32" customWidth="1"/>
    <col min="7" max="12" width="13" customWidth="1"/>
    <col min="13" max="13" width="16" customWidth="1"/>
    <col min="14" max="15" width="13" customWidth="1"/>
  </cols>
  <sheetData>
    <row r="1" spans="1:12" ht="12.75" customHeight="1" x14ac:dyDescent="0.2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  <c r="I1" s="33"/>
      <c r="J1" s="33"/>
    </row>
    <row r="2" spans="1:12" ht="19.5" customHeight="1" x14ac:dyDescent="0.2">
      <c r="A2" s="162" t="s">
        <v>525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</row>
    <row r="3" spans="1:12" ht="96" customHeight="1" x14ac:dyDescent="0.2">
      <c r="A3" s="163" t="s">
        <v>526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</row>
    <row r="5" spans="1:12" ht="19.5" customHeight="1" x14ac:dyDescent="0.25">
      <c r="A5" s="8" t="s">
        <v>527</v>
      </c>
      <c r="B5" s="8"/>
      <c r="C5" s="8"/>
      <c r="D5" s="8"/>
    </row>
    <row r="6" spans="1:12" ht="15" customHeight="1" x14ac:dyDescent="0.25">
      <c r="A6" s="95" t="s">
        <v>528</v>
      </c>
      <c r="B6" s="25" t="s">
        <v>200</v>
      </c>
      <c r="C6" s="25" t="s">
        <v>201</v>
      </c>
      <c r="D6" s="25" t="s">
        <v>202</v>
      </c>
    </row>
    <row r="7" spans="1:12" ht="15" customHeight="1" x14ac:dyDescent="0.25">
      <c r="A7" s="27" t="s">
        <v>529</v>
      </c>
      <c r="B7" s="96"/>
      <c r="C7" s="96"/>
      <c r="D7" s="96"/>
    </row>
    <row r="8" spans="1:12" ht="15" customHeight="1" x14ac:dyDescent="0.25">
      <c r="A8" s="27" t="s">
        <v>530</v>
      </c>
      <c r="B8" s="96"/>
      <c r="C8" s="96"/>
      <c r="D8" s="96"/>
    </row>
    <row r="9" spans="1:12" ht="15" customHeight="1" x14ac:dyDescent="0.25">
      <c r="A9" s="27" t="s">
        <v>531</v>
      </c>
      <c r="B9" s="96"/>
      <c r="C9" s="96"/>
      <c r="D9" s="96"/>
    </row>
    <row r="10" spans="1:12" ht="15" customHeight="1" x14ac:dyDescent="0.25">
      <c r="A10" s="27" t="s">
        <v>532</v>
      </c>
      <c r="B10" s="96"/>
      <c r="C10" s="96"/>
      <c r="D10" s="96"/>
    </row>
    <row r="11" spans="1:12" ht="15" customHeight="1" x14ac:dyDescent="0.25">
      <c r="A11" s="27" t="s">
        <v>533</v>
      </c>
      <c r="B11" s="96"/>
      <c r="C11" s="96"/>
      <c r="D11" s="96"/>
    </row>
    <row r="12" spans="1:12" ht="15" customHeight="1" x14ac:dyDescent="0.25">
      <c r="A12" s="27" t="s">
        <v>534</v>
      </c>
      <c r="B12" s="96"/>
      <c r="C12" s="96"/>
      <c r="D12" s="96"/>
    </row>
    <row r="13" spans="1:12" ht="15" customHeight="1" x14ac:dyDescent="0.25">
      <c r="A13" s="67" t="s">
        <v>535</v>
      </c>
      <c r="B13" s="97"/>
      <c r="C13" s="97"/>
      <c r="D13" s="97"/>
    </row>
    <row r="15" spans="1:12" ht="19.5" customHeight="1" x14ac:dyDescent="0.25">
      <c r="A15" s="8" t="s">
        <v>536</v>
      </c>
      <c r="B15" s="8"/>
      <c r="C15" s="8"/>
      <c r="D15" s="8"/>
    </row>
    <row r="16" spans="1:12" ht="15" customHeight="1" x14ac:dyDescent="0.25">
      <c r="A16" s="95" t="s">
        <v>537</v>
      </c>
      <c r="B16" s="25" t="s">
        <v>200</v>
      </c>
      <c r="C16" s="25" t="s">
        <v>201</v>
      </c>
      <c r="D16" s="25" t="s">
        <v>202</v>
      </c>
    </row>
    <row r="17" spans="1:10" ht="18" customHeight="1" x14ac:dyDescent="0.25">
      <c r="A17" s="27" t="s">
        <v>538</v>
      </c>
      <c r="B17" s="98"/>
      <c r="C17" s="98"/>
      <c r="D17" s="98"/>
    </row>
    <row r="18" spans="1:10" ht="18" customHeight="1" x14ac:dyDescent="0.25">
      <c r="A18" s="27" t="s">
        <v>539</v>
      </c>
      <c r="B18" s="98"/>
      <c r="C18" s="98"/>
      <c r="D18" s="98"/>
    </row>
    <row r="19" spans="1:10" ht="18" customHeight="1" x14ac:dyDescent="0.25">
      <c r="A19" s="27" t="s">
        <v>540</v>
      </c>
      <c r="B19" s="98"/>
      <c r="C19" s="98"/>
      <c r="D19" s="98"/>
    </row>
    <row r="20" spans="1:10" ht="18" customHeight="1" x14ac:dyDescent="0.25">
      <c r="A20" s="27" t="s">
        <v>541</v>
      </c>
      <c r="B20" s="99"/>
      <c r="C20" s="99"/>
      <c r="D20" s="99"/>
    </row>
    <row r="21" spans="1:10" ht="18" customHeight="1" x14ac:dyDescent="0.25">
      <c r="A21" s="27" t="s">
        <v>542</v>
      </c>
      <c r="B21" s="98"/>
      <c r="C21" s="98"/>
      <c r="D21" s="98"/>
    </row>
    <row r="22" spans="1:10" ht="18" customHeight="1" x14ac:dyDescent="0.25">
      <c r="A22" s="27" t="s">
        <v>543</v>
      </c>
      <c r="B22" s="98"/>
      <c r="C22" s="98"/>
      <c r="D22" s="98"/>
    </row>
    <row r="23" spans="1:10" ht="18" customHeight="1" x14ac:dyDescent="0.25">
      <c r="A23" s="27" t="s">
        <v>544</v>
      </c>
      <c r="B23" s="100"/>
      <c r="C23" s="100"/>
      <c r="D23" s="100"/>
    </row>
    <row r="24" spans="1:10" ht="15" customHeight="1" x14ac:dyDescent="0.25">
      <c r="A24" s="169" t="s">
        <v>545</v>
      </c>
      <c r="B24" s="169"/>
      <c r="C24" s="169"/>
      <c r="D24" s="169"/>
    </row>
    <row r="26" spans="1:10" ht="19.5" customHeight="1" x14ac:dyDescent="0.25">
      <c r="A26" s="8" t="s">
        <v>546</v>
      </c>
      <c r="B26" s="8"/>
      <c r="C26" s="8"/>
      <c r="D26" s="8"/>
    </row>
    <row r="27" spans="1:10" ht="15" customHeight="1" x14ac:dyDescent="0.25">
      <c r="A27" s="101" t="s">
        <v>547</v>
      </c>
      <c r="B27" s="102" t="s">
        <v>548</v>
      </c>
      <c r="H27" s="103"/>
      <c r="I27" s="103"/>
      <c r="J27" s="103"/>
    </row>
    <row r="28" spans="1:10" ht="15" customHeight="1" x14ac:dyDescent="0.25">
      <c r="H28" s="104"/>
      <c r="I28" s="104"/>
      <c r="J28" s="104"/>
    </row>
    <row r="29" spans="1:10" ht="15" customHeight="1" x14ac:dyDescent="0.25">
      <c r="H29" s="103"/>
      <c r="I29" s="104"/>
      <c r="J29" s="104"/>
    </row>
    <row r="31" spans="1:10" ht="15" customHeight="1" x14ac:dyDescent="0.25">
      <c r="A31" s="101" t="s">
        <v>549</v>
      </c>
      <c r="B31" s="170"/>
      <c r="C31" s="170"/>
      <c r="D31" s="170"/>
    </row>
    <row r="32" spans="1:10" ht="15" customHeight="1" x14ac:dyDescent="0.25">
      <c r="A32" s="101" t="s">
        <v>550</v>
      </c>
      <c r="B32" s="171"/>
      <c r="C32" s="171"/>
      <c r="D32" s="171"/>
    </row>
    <row r="33" spans="1:15" ht="15" customHeight="1" x14ac:dyDescent="0.25">
      <c r="A33" s="101" t="s">
        <v>551</v>
      </c>
      <c r="B33" s="171"/>
      <c r="C33" s="171"/>
      <c r="D33" s="171"/>
    </row>
    <row r="34" spans="1:15" ht="15" customHeight="1" x14ac:dyDescent="0.25">
      <c r="A34" s="101" t="s">
        <v>552</v>
      </c>
      <c r="B34" s="170"/>
      <c r="C34" s="170"/>
      <c r="D34" s="170"/>
    </row>
    <row r="35" spans="1:15" ht="15" customHeight="1" x14ac:dyDescent="0.25">
      <c r="A35" s="101" t="s">
        <v>553</v>
      </c>
      <c r="B35" s="170"/>
      <c r="C35" s="170"/>
      <c r="D35" s="170"/>
    </row>
    <row r="36" spans="1:15" ht="15" customHeight="1" x14ac:dyDescent="0.25">
      <c r="A36" s="172" t="s">
        <v>554</v>
      </c>
      <c r="B36" s="172"/>
      <c r="C36" s="172"/>
      <c r="D36" s="172"/>
    </row>
    <row r="37" spans="1:15" ht="55.5" customHeight="1" x14ac:dyDescent="0.25">
      <c r="A37" s="173"/>
      <c r="B37" s="173"/>
      <c r="C37" s="173"/>
      <c r="D37" s="173"/>
    </row>
    <row r="39" spans="1:15" ht="30" customHeight="1" x14ac:dyDescent="0.25">
      <c r="A39" s="174"/>
      <c r="B39" s="174"/>
      <c r="C39" s="174"/>
      <c r="D39" s="174"/>
    </row>
    <row r="46" spans="1:15" ht="19.5" customHeight="1" x14ac:dyDescent="0.2">
      <c r="A46" s="162" t="s">
        <v>555</v>
      </c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</row>
    <row r="47" spans="1:15" ht="25.5" customHeight="1" x14ac:dyDescent="0.2">
      <c r="A47" s="167" t="s">
        <v>556</v>
      </c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</row>
    <row r="49" spans="1:15" ht="19.5" customHeight="1" x14ac:dyDescent="0.2">
      <c r="A49" s="8" t="s">
        <v>557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spans="1:15" ht="15" customHeight="1" x14ac:dyDescent="0.2">
      <c r="A50" s="67" t="s">
        <v>558</v>
      </c>
      <c r="B50" s="68" t="s">
        <v>368</v>
      </c>
      <c r="C50" s="68" t="s">
        <v>369</v>
      </c>
      <c r="D50" s="68" t="s">
        <v>370</v>
      </c>
      <c r="E50" s="68" t="s">
        <v>371</v>
      </c>
      <c r="F50" s="68" t="s">
        <v>372</v>
      </c>
      <c r="G50" s="68" t="s">
        <v>373</v>
      </c>
      <c r="H50" s="68" t="s">
        <v>374</v>
      </c>
      <c r="I50" s="68" t="s">
        <v>375</v>
      </c>
      <c r="J50" s="68" t="s">
        <v>376</v>
      </c>
      <c r="K50" s="68" t="s">
        <v>377</v>
      </c>
      <c r="L50" s="68" t="s">
        <v>378</v>
      </c>
      <c r="M50" s="69" t="s">
        <v>559</v>
      </c>
    </row>
    <row r="51" spans="1:15" ht="15" customHeight="1" x14ac:dyDescent="0.2">
      <c r="A51" s="101" t="s">
        <v>560</v>
      </c>
      <c r="B51" s="105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6"/>
    </row>
    <row r="52" spans="1:15" ht="15" customHeight="1" x14ac:dyDescent="0.2">
      <c r="A52" s="101" t="s">
        <v>561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6"/>
    </row>
    <row r="53" spans="1:15" ht="15" customHeight="1" x14ac:dyDescent="0.2">
      <c r="A53" s="101" t="s">
        <v>562</v>
      </c>
      <c r="B53" s="105"/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6"/>
    </row>
    <row r="54" spans="1:15" ht="15" customHeight="1" x14ac:dyDescent="0.2">
      <c r="A54" s="107" t="s">
        <v>563</v>
      </c>
      <c r="B54" s="108"/>
      <c r="C54" s="108"/>
      <c r="D54" s="108"/>
      <c r="E54" s="108"/>
      <c r="F54" s="108"/>
      <c r="G54" s="108"/>
      <c r="H54" s="108"/>
      <c r="I54" s="108"/>
      <c r="J54" s="108"/>
      <c r="K54" s="108"/>
      <c r="L54" s="108"/>
    </row>
    <row r="55" spans="1:15" ht="15" customHeight="1" x14ac:dyDescent="0.2">
      <c r="A55" s="107" t="s">
        <v>564</v>
      </c>
      <c r="B55" s="108"/>
      <c r="C55" s="108"/>
      <c r="D55" s="108"/>
      <c r="E55" s="108"/>
      <c r="F55" s="108"/>
      <c r="G55" s="108"/>
      <c r="H55" s="108"/>
      <c r="I55" s="108"/>
      <c r="J55" s="108"/>
      <c r="K55" s="108"/>
      <c r="L55" s="108"/>
    </row>
    <row r="56" spans="1:15" ht="15" customHeight="1" x14ac:dyDescent="0.2">
      <c r="A56" s="107" t="s">
        <v>565</v>
      </c>
      <c r="B56" s="108"/>
      <c r="C56" s="108"/>
      <c r="D56" s="108"/>
      <c r="E56" s="108"/>
      <c r="F56" s="108"/>
      <c r="G56" s="108"/>
      <c r="H56" s="108"/>
      <c r="I56" s="108"/>
      <c r="J56" s="108"/>
      <c r="K56" s="108"/>
      <c r="L56" s="108"/>
    </row>
    <row r="58" spans="1:15" ht="19.5" customHeight="1" x14ac:dyDescent="0.2">
      <c r="A58" s="8" t="s">
        <v>566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5" ht="15" customHeight="1" x14ac:dyDescent="0.25">
      <c r="A59" s="95" t="s">
        <v>567</v>
      </c>
      <c r="B59" s="25" t="s">
        <v>568</v>
      </c>
      <c r="C59" s="25" t="s">
        <v>569</v>
      </c>
      <c r="D59" s="25" t="s">
        <v>570</v>
      </c>
    </row>
    <row r="60" spans="1:15" ht="18" customHeight="1" x14ac:dyDescent="0.25">
      <c r="A60" s="27" t="s">
        <v>571</v>
      </c>
      <c r="B60" s="71"/>
      <c r="C60" s="71"/>
      <c r="D60" s="71"/>
    </row>
    <row r="61" spans="1:15" ht="18" customHeight="1" x14ac:dyDescent="0.25">
      <c r="A61" s="27" t="s">
        <v>572</v>
      </c>
      <c r="B61" s="71"/>
      <c r="C61" s="71"/>
      <c r="D61" s="71"/>
    </row>
    <row r="62" spans="1:15" ht="18" customHeight="1" x14ac:dyDescent="0.25">
      <c r="A62" s="78" t="s">
        <v>573</v>
      </c>
      <c r="B62" s="73"/>
      <c r="C62" s="73"/>
      <c r="D62" s="73"/>
    </row>
    <row r="63" spans="1:15" ht="18" customHeight="1" x14ac:dyDescent="0.25">
      <c r="A63" s="27" t="s">
        <v>574</v>
      </c>
      <c r="B63" s="109"/>
      <c r="C63" s="109"/>
      <c r="D63" s="109"/>
    </row>
    <row r="64" spans="1:15" ht="18" customHeight="1" x14ac:dyDescent="0.25">
      <c r="A64" s="27" t="s">
        <v>575</v>
      </c>
      <c r="B64" s="109"/>
      <c r="C64" s="109"/>
      <c r="D64" s="109"/>
    </row>
    <row r="65" spans="1:15" ht="18" customHeight="1" x14ac:dyDescent="0.25">
      <c r="A65" s="27" t="s">
        <v>576</v>
      </c>
      <c r="B65" s="110"/>
      <c r="C65" s="110"/>
      <c r="D65" s="110"/>
    </row>
    <row r="66" spans="1:15" ht="18" customHeight="1" x14ac:dyDescent="0.25">
      <c r="A66" s="27" t="s">
        <v>577</v>
      </c>
      <c r="B66" s="111"/>
      <c r="C66" s="111"/>
      <c r="D66" s="111"/>
    </row>
    <row r="67" spans="1:15" ht="18" customHeight="1" x14ac:dyDescent="0.25">
      <c r="A67" s="27" t="s">
        <v>578</v>
      </c>
      <c r="B67" s="71"/>
      <c r="C67" s="71"/>
      <c r="D67" s="71"/>
    </row>
    <row r="68" spans="1:15" ht="18" customHeight="1" x14ac:dyDescent="0.25">
      <c r="A68" s="27" t="s">
        <v>579</v>
      </c>
      <c r="B68" s="71"/>
      <c r="C68" s="71"/>
      <c r="D68" s="71"/>
    </row>
    <row r="69" spans="1:15" ht="18" customHeight="1" x14ac:dyDescent="0.25">
      <c r="A69" s="78" t="s">
        <v>580</v>
      </c>
      <c r="B69" s="73"/>
      <c r="C69" s="73"/>
      <c r="D69" s="73"/>
    </row>
    <row r="70" spans="1:15" ht="18" customHeight="1" x14ac:dyDescent="0.25">
      <c r="A70" s="78" t="s">
        <v>581</v>
      </c>
      <c r="B70" s="73"/>
      <c r="C70" s="73"/>
      <c r="D70" s="73"/>
    </row>
    <row r="71" spans="1:15" ht="18" customHeight="1" x14ac:dyDescent="0.25">
      <c r="A71" s="27" t="s">
        <v>582</v>
      </c>
      <c r="B71" s="112"/>
      <c r="C71" s="112"/>
      <c r="D71" s="112"/>
    </row>
    <row r="72" spans="1:15" ht="18" customHeight="1" x14ac:dyDescent="0.25">
      <c r="A72" s="27" t="s">
        <v>583</v>
      </c>
      <c r="B72" s="113"/>
      <c r="C72" s="113"/>
      <c r="D72" s="113"/>
    </row>
    <row r="73" spans="1:15" ht="18" customHeight="1" x14ac:dyDescent="0.25">
      <c r="A73" s="27" t="s">
        <v>584</v>
      </c>
      <c r="B73" s="113"/>
      <c r="C73" s="113"/>
      <c r="D73" s="113"/>
    </row>
    <row r="74" spans="1:15" ht="15" customHeight="1" x14ac:dyDescent="0.2">
      <c r="A74" s="175" t="s">
        <v>585</v>
      </c>
      <c r="B74" s="175"/>
      <c r="C74" s="175"/>
      <c r="D74" s="175"/>
      <c r="E74" s="175"/>
      <c r="F74" s="175"/>
      <c r="G74" s="175"/>
      <c r="H74" s="175"/>
      <c r="I74" s="175"/>
      <c r="J74" s="175"/>
      <c r="K74" s="175"/>
      <c r="L74" s="175"/>
      <c r="M74" s="175"/>
      <c r="N74" s="175"/>
      <c r="O74" s="175"/>
    </row>
    <row r="76" spans="1:15" ht="19.5" customHeight="1" x14ac:dyDescent="0.2">
      <c r="A76" s="8" t="s">
        <v>586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spans="1:15" ht="24" customHeight="1" x14ac:dyDescent="0.25">
      <c r="A77" s="176" t="s">
        <v>587</v>
      </c>
      <c r="B77" s="176"/>
      <c r="C77" s="176"/>
      <c r="D77" s="176"/>
      <c r="E77" s="79"/>
    </row>
    <row r="78" spans="1:15" ht="24" customHeight="1" x14ac:dyDescent="0.25">
      <c r="A78" s="176" t="s">
        <v>588</v>
      </c>
      <c r="B78" s="176"/>
      <c r="C78" s="176"/>
      <c r="D78" s="176"/>
      <c r="E78" s="114"/>
    </row>
    <row r="79" spans="1:15" ht="24" customHeight="1" x14ac:dyDescent="0.25">
      <c r="A79" s="176" t="s">
        <v>589</v>
      </c>
      <c r="B79" s="176"/>
      <c r="C79" s="176"/>
      <c r="D79" s="176"/>
      <c r="E79" s="80"/>
    </row>
    <row r="81" spans="1:15" ht="19.5" customHeight="1" x14ac:dyDescent="0.2">
      <c r="A81" s="8" t="s">
        <v>590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</row>
    <row r="82" spans="1:15" ht="15" customHeight="1" x14ac:dyDescent="0.25">
      <c r="A82" s="69" t="s">
        <v>591</v>
      </c>
      <c r="B82" s="69" t="s">
        <v>592</v>
      </c>
      <c r="C82" s="69" t="s">
        <v>593</v>
      </c>
      <c r="D82" s="69" t="s">
        <v>594</v>
      </c>
      <c r="E82" s="69" t="s">
        <v>595</v>
      </c>
    </row>
    <row r="83" spans="1:15" ht="15" customHeight="1" x14ac:dyDescent="0.25">
      <c r="A83" s="115" t="s">
        <v>568</v>
      </c>
      <c r="B83" s="116"/>
      <c r="C83" s="116"/>
      <c r="D83" s="116"/>
      <c r="E83" s="116"/>
    </row>
    <row r="84" spans="1:15" ht="15" customHeight="1" x14ac:dyDescent="0.25">
      <c r="A84" s="115" t="s">
        <v>569</v>
      </c>
      <c r="B84" s="116"/>
      <c r="C84" s="116"/>
      <c r="D84" s="116"/>
      <c r="E84" s="116"/>
    </row>
    <row r="85" spans="1:15" ht="15" customHeight="1" x14ac:dyDescent="0.25">
      <c r="A85" s="115" t="s">
        <v>570</v>
      </c>
      <c r="B85" s="116"/>
      <c r="C85" s="116"/>
      <c r="D85" s="116"/>
      <c r="E85" s="116"/>
    </row>
  </sheetData>
  <sheetProtection sheet="1" formatColumns="0" formatRows="0"/>
  <mergeCells count="24">
    <mergeCell ref="A77:D77"/>
    <mergeCell ref="A78:D78"/>
    <mergeCell ref="A79:D79"/>
    <mergeCell ref="A81:O81"/>
    <mergeCell ref="A47:O47"/>
    <mergeCell ref="A49:O49"/>
    <mergeCell ref="A58:O58"/>
    <mergeCell ref="A74:O74"/>
    <mergeCell ref="A76:O76"/>
    <mergeCell ref="B35:D35"/>
    <mergeCell ref="A36:D36"/>
    <mergeCell ref="A37:D37"/>
    <mergeCell ref="A39:D39"/>
    <mergeCell ref="A46:O46"/>
    <mergeCell ref="A26:D26"/>
    <mergeCell ref="B31:D31"/>
    <mergeCell ref="B32:D32"/>
    <mergeCell ref="B33:D33"/>
    <mergeCell ref="B34:D34"/>
    <mergeCell ref="A2:L2"/>
    <mergeCell ref="A3:L3"/>
    <mergeCell ref="A5:D5"/>
    <mergeCell ref="A15:D15"/>
    <mergeCell ref="A24:D24"/>
  </mergeCells>
  <conditionalFormatting sqref="B7:D13">
    <cfRule type="cellIs" dxfId="29" priority="2" operator="equal">
      <formula>"CUMPLE"</formula>
    </cfRule>
    <cfRule type="cellIs" dxfId="28" priority="3" operator="equal">
      <formula>"NO CUMPLE"</formula>
    </cfRule>
    <cfRule type="cellIs" dxfId="27" priority="4" operator="equal">
      <formula>"FACTIBLE"</formula>
    </cfRule>
    <cfRule type="cellIs" dxfId="26" priority="5" operator="equal">
      <formula>"NO FACTIBLE"</formula>
    </cfRule>
  </conditionalFormatting>
  <dataValidations count="1">
    <dataValidation type="list" sqref="B27" xr:uid="{00000000-0002-0000-0400-000000000000}">
      <formula1>"Empresa,Sociedad,Internalizado"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76"/>
  <sheetViews>
    <sheetView zoomScaleNormal="100" workbookViewId="0">
      <selection activeCell="E18" sqref="E18"/>
    </sheetView>
  </sheetViews>
  <sheetFormatPr baseColWidth="10" defaultColWidth="8.7109375" defaultRowHeight="15" x14ac:dyDescent="0.25"/>
  <cols>
    <col min="1" max="1" width="19" style="32" customWidth="1"/>
    <col min="2" max="7" width="12" style="32" customWidth="1"/>
    <col min="8" max="8" width="3" style="32" customWidth="1"/>
    <col min="9" max="14" width="12" style="32" customWidth="1"/>
  </cols>
  <sheetData>
    <row r="1" spans="1:15" ht="12.75" customHeight="1" x14ac:dyDescent="0.25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  <c r="I1" s="33"/>
      <c r="J1" s="33"/>
    </row>
    <row r="2" spans="1:15" ht="19.5" customHeight="1" x14ac:dyDescent="0.2">
      <c r="A2" s="162" t="s">
        <v>596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</row>
    <row r="3" spans="1:15" ht="96" customHeight="1" x14ac:dyDescent="0.2">
      <c r="A3" s="163" t="s">
        <v>597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</row>
    <row r="5" spans="1:15" ht="19.5" customHeight="1" x14ac:dyDescent="0.25">
      <c r="A5" s="177" t="s">
        <v>598</v>
      </c>
      <c r="B5" s="177"/>
      <c r="C5" s="177"/>
      <c r="D5" s="177"/>
      <c r="E5" s="177"/>
      <c r="F5" s="177"/>
      <c r="G5" s="177"/>
      <c r="I5" s="177" t="s">
        <v>599</v>
      </c>
      <c r="J5" s="177"/>
      <c r="K5" s="177"/>
      <c r="L5" s="177"/>
      <c r="M5" s="177"/>
      <c r="N5" s="177"/>
    </row>
    <row r="6" spans="1:15" ht="15" customHeight="1" x14ac:dyDescent="0.25">
      <c r="A6" s="54" t="s">
        <v>600</v>
      </c>
      <c r="B6" s="117">
        <v>25</v>
      </c>
      <c r="C6" s="117">
        <v>40</v>
      </c>
      <c r="D6" s="117">
        <v>50</v>
      </c>
      <c r="E6" s="117">
        <v>60</v>
      </c>
      <c r="F6" s="117">
        <v>75</v>
      </c>
      <c r="G6" s="117">
        <v>100</v>
      </c>
      <c r="I6" s="54" t="s">
        <v>601</v>
      </c>
      <c r="J6" s="117">
        <v>25</v>
      </c>
      <c r="K6" s="117">
        <v>120</v>
      </c>
      <c r="L6" s="117">
        <v>180</v>
      </c>
      <c r="M6" s="117">
        <v>235</v>
      </c>
      <c r="N6" s="117">
        <v>290</v>
      </c>
      <c r="O6" s="117">
        <v>350</v>
      </c>
    </row>
    <row r="7" spans="1:15" ht="15" customHeight="1" x14ac:dyDescent="0.25">
      <c r="A7" s="118">
        <v>0.06</v>
      </c>
      <c r="B7" s="119"/>
      <c r="C7" s="119"/>
      <c r="D7" s="119"/>
      <c r="E7" s="119"/>
      <c r="F7" s="119"/>
      <c r="G7" s="119"/>
      <c r="I7" s="120">
        <v>0.1</v>
      </c>
      <c r="J7" s="119"/>
      <c r="K7" s="119"/>
      <c r="L7" s="119"/>
      <c r="M7" s="119"/>
      <c r="N7" s="119"/>
      <c r="O7" s="119"/>
    </row>
    <row r="8" spans="1:15" ht="15" customHeight="1" x14ac:dyDescent="0.25">
      <c r="A8" s="118">
        <v>0.08</v>
      </c>
      <c r="B8" s="119"/>
      <c r="C8" s="119"/>
      <c r="D8" s="119"/>
      <c r="E8" s="119"/>
      <c r="F8" s="119"/>
      <c r="G8" s="119"/>
      <c r="I8" s="120">
        <v>0.3</v>
      </c>
      <c r="J8" s="119"/>
      <c r="K8" s="119"/>
      <c r="L8" s="119"/>
      <c r="M8" s="119"/>
      <c r="N8" s="119"/>
      <c r="O8" s="119"/>
    </row>
    <row r="9" spans="1:15" ht="15" customHeight="1" x14ac:dyDescent="0.25">
      <c r="A9" s="118">
        <v>0.1</v>
      </c>
      <c r="B9" s="119"/>
      <c r="C9" s="119"/>
      <c r="D9" s="119"/>
      <c r="E9" s="119"/>
      <c r="F9" s="119"/>
      <c r="G9" s="119"/>
      <c r="I9" s="120">
        <v>0.5</v>
      </c>
      <c r="J9" s="119"/>
      <c r="K9" s="119"/>
      <c r="L9" s="119"/>
      <c r="M9" s="119"/>
      <c r="N9" s="119"/>
      <c r="O9" s="119"/>
    </row>
    <row r="10" spans="1:15" ht="15" customHeight="1" x14ac:dyDescent="0.25">
      <c r="A10" s="118">
        <v>0.12</v>
      </c>
      <c r="B10" s="119"/>
      <c r="C10" s="119"/>
      <c r="D10" s="119"/>
      <c r="E10" s="119"/>
      <c r="F10" s="119"/>
      <c r="G10" s="119"/>
      <c r="I10" s="120">
        <v>0.7</v>
      </c>
      <c r="J10" s="119"/>
      <c r="K10" s="119"/>
      <c r="L10" s="119"/>
      <c r="M10" s="119"/>
      <c r="N10" s="119"/>
      <c r="O10" s="119"/>
    </row>
    <row r="11" spans="1:15" ht="15" customHeight="1" x14ac:dyDescent="0.25">
      <c r="A11" s="118">
        <v>0.14000000000000001</v>
      </c>
      <c r="B11" s="119"/>
      <c r="C11" s="119"/>
      <c r="D11" s="119"/>
      <c r="E11" s="119"/>
      <c r="F11" s="119"/>
      <c r="G11" s="119"/>
      <c r="I11" s="120">
        <v>0.9</v>
      </c>
      <c r="J11" s="119"/>
      <c r="K11" s="119"/>
      <c r="L11" s="119"/>
      <c r="M11" s="119"/>
      <c r="N11" s="119"/>
      <c r="O11" s="119"/>
    </row>
    <row r="14" spans="1:15" ht="19.5" customHeight="1" x14ac:dyDescent="0.25">
      <c r="A14" s="177" t="s">
        <v>602</v>
      </c>
      <c r="B14" s="177"/>
      <c r="C14" s="177"/>
      <c r="D14" s="177"/>
      <c r="E14" s="177"/>
      <c r="F14" s="177"/>
      <c r="G14" s="177"/>
      <c r="I14" s="177" t="s">
        <v>603</v>
      </c>
      <c r="J14" s="177"/>
      <c r="K14" s="177"/>
      <c r="L14" s="177"/>
      <c r="M14" s="177"/>
      <c r="N14" s="177"/>
    </row>
    <row r="15" spans="1:15" ht="15" customHeight="1" x14ac:dyDescent="0.25">
      <c r="A15" s="54" t="s">
        <v>604</v>
      </c>
      <c r="B15" s="117">
        <v>25</v>
      </c>
      <c r="C15" s="117">
        <v>50</v>
      </c>
      <c r="D15" s="117">
        <v>75</v>
      </c>
      <c r="E15" s="117">
        <v>100</v>
      </c>
      <c r="F15" s="117">
        <v>150</v>
      </c>
      <c r="G15" s="117">
        <v>200</v>
      </c>
      <c r="I15" s="54" t="s">
        <v>605</v>
      </c>
      <c r="J15" s="121">
        <v>1000000</v>
      </c>
      <c r="K15" s="121">
        <v>2000000</v>
      </c>
      <c r="L15" s="121">
        <v>3000000</v>
      </c>
      <c r="M15" s="121">
        <v>4500000</v>
      </c>
      <c r="N15" s="121">
        <v>6000000</v>
      </c>
      <c r="O15" s="121">
        <v>9000000</v>
      </c>
    </row>
    <row r="16" spans="1:15" ht="15" customHeight="1" x14ac:dyDescent="0.25">
      <c r="A16" s="120">
        <v>-0.2</v>
      </c>
      <c r="B16" s="119"/>
      <c r="C16" s="119"/>
      <c r="D16" s="119"/>
      <c r="E16" s="119"/>
      <c r="F16" s="119"/>
      <c r="G16" s="119"/>
      <c r="I16" s="120">
        <v>-0.2</v>
      </c>
      <c r="J16" s="119"/>
      <c r="K16" s="119"/>
      <c r="L16" s="119"/>
      <c r="M16" s="119"/>
      <c r="N16" s="119"/>
      <c r="O16" s="119"/>
    </row>
    <row r="17" spans="1:15" ht="15" customHeight="1" x14ac:dyDescent="0.25">
      <c r="A17" s="120">
        <v>-0.1</v>
      </c>
      <c r="B17" s="119"/>
      <c r="C17" s="119"/>
      <c r="D17" s="119"/>
      <c r="E17" s="119"/>
      <c r="F17" s="119"/>
      <c r="G17" s="119"/>
      <c r="I17" s="120">
        <v>-0.1</v>
      </c>
      <c r="J17" s="119"/>
      <c r="K17" s="119"/>
      <c r="L17" s="119"/>
      <c r="M17" s="119"/>
      <c r="N17" s="119"/>
      <c r="O17" s="119"/>
    </row>
    <row r="18" spans="1:15" ht="15" customHeight="1" x14ac:dyDescent="0.25">
      <c r="A18" s="120">
        <v>0</v>
      </c>
      <c r="B18" s="119"/>
      <c r="C18" s="119"/>
      <c r="D18" s="119"/>
      <c r="E18" s="119"/>
      <c r="F18" s="119"/>
      <c r="G18" s="119"/>
      <c r="I18" s="120">
        <v>0</v>
      </c>
      <c r="J18" s="119"/>
      <c r="K18" s="119"/>
      <c r="L18" s="119"/>
      <c r="M18" s="119"/>
      <c r="N18" s="119"/>
      <c r="O18" s="119"/>
    </row>
    <row r="19" spans="1:15" ht="15" customHeight="1" x14ac:dyDescent="0.25">
      <c r="A19" s="120">
        <v>0.1</v>
      </c>
      <c r="B19" s="119"/>
      <c r="C19" s="119"/>
      <c r="D19" s="119"/>
      <c r="E19" s="119"/>
      <c r="F19" s="119"/>
      <c r="G19" s="119"/>
      <c r="I19" s="120">
        <v>0.1</v>
      </c>
      <c r="J19" s="119"/>
      <c r="K19" s="119"/>
      <c r="L19" s="119"/>
      <c r="M19" s="119"/>
      <c r="N19" s="119"/>
      <c r="O19" s="119"/>
    </row>
    <row r="20" spans="1:15" ht="15" customHeight="1" x14ac:dyDescent="0.25">
      <c r="A20" s="120">
        <v>0.2</v>
      </c>
      <c r="B20" s="119"/>
      <c r="C20" s="119"/>
      <c r="D20" s="119"/>
      <c r="E20" s="119"/>
      <c r="F20" s="119"/>
      <c r="G20" s="119"/>
      <c r="I20" s="120">
        <v>0.2</v>
      </c>
      <c r="J20" s="119"/>
      <c r="K20" s="119"/>
      <c r="L20" s="119"/>
      <c r="M20" s="119"/>
      <c r="N20" s="119"/>
      <c r="O20" s="119"/>
    </row>
    <row r="23" spans="1:15" ht="19.5" customHeight="1" x14ac:dyDescent="0.25">
      <c r="A23" s="177" t="s">
        <v>606</v>
      </c>
      <c r="B23" s="177"/>
      <c r="C23" s="177"/>
      <c r="D23" s="177"/>
      <c r="E23" s="177"/>
      <c r="F23" s="177"/>
      <c r="G23" s="177"/>
      <c r="I23" s="177" t="s">
        <v>607</v>
      </c>
      <c r="J23" s="177"/>
      <c r="K23" s="177"/>
      <c r="L23" s="177"/>
      <c r="M23" s="177"/>
      <c r="N23" s="177"/>
    </row>
    <row r="24" spans="1:15" ht="15" customHeight="1" x14ac:dyDescent="0.25">
      <c r="A24" s="54" t="s">
        <v>608</v>
      </c>
      <c r="B24" s="120">
        <v>-0.2</v>
      </c>
      <c r="C24" s="120">
        <v>-0.1</v>
      </c>
      <c r="D24" s="120">
        <v>0</v>
      </c>
      <c r="E24" s="120">
        <v>0.1</v>
      </c>
      <c r="F24" s="120">
        <v>0.2</v>
      </c>
      <c r="G24" s="120">
        <v>0.3</v>
      </c>
      <c r="I24" s="54" t="s">
        <v>609</v>
      </c>
      <c r="J24" s="120">
        <v>-0.1</v>
      </c>
      <c r="K24" s="120">
        <v>-0.05</v>
      </c>
      <c r="L24" s="120">
        <v>0</v>
      </c>
      <c r="M24" s="120">
        <v>0.05</v>
      </c>
      <c r="N24" s="120">
        <v>0.1</v>
      </c>
      <c r="O24" s="120">
        <v>0.15</v>
      </c>
    </row>
    <row r="25" spans="1:15" ht="15" customHeight="1" x14ac:dyDescent="0.25">
      <c r="A25" s="120">
        <v>-0.2</v>
      </c>
      <c r="B25" s="119"/>
      <c r="C25" s="119"/>
      <c r="D25" s="119"/>
      <c r="E25" s="119"/>
      <c r="F25" s="119"/>
      <c r="G25" s="119"/>
      <c r="I25" s="120">
        <v>-0.1</v>
      </c>
      <c r="J25" s="122"/>
      <c r="K25" s="122"/>
      <c r="L25" s="122"/>
      <c r="M25" s="122"/>
      <c r="N25" s="122"/>
      <c r="O25" s="122"/>
    </row>
    <row r="26" spans="1:15" ht="15" customHeight="1" x14ac:dyDescent="0.25">
      <c r="A26" s="120">
        <v>-0.1</v>
      </c>
      <c r="B26" s="119"/>
      <c r="C26" s="119"/>
      <c r="D26" s="119"/>
      <c r="E26" s="119"/>
      <c r="F26" s="119"/>
      <c r="G26" s="119"/>
      <c r="I26" s="120">
        <v>-0.05</v>
      </c>
      <c r="J26" s="122"/>
      <c r="K26" s="122"/>
      <c r="L26" s="122"/>
      <c r="M26" s="122"/>
      <c r="N26" s="122"/>
      <c r="O26" s="122"/>
    </row>
    <row r="27" spans="1:15" ht="15" customHeight="1" x14ac:dyDescent="0.25">
      <c r="A27" s="120">
        <v>0</v>
      </c>
      <c r="B27" s="119"/>
      <c r="C27" s="119"/>
      <c r="D27" s="119"/>
      <c r="E27" s="119"/>
      <c r="F27" s="119"/>
      <c r="G27" s="119"/>
      <c r="I27" s="120">
        <v>0</v>
      </c>
      <c r="J27" s="122"/>
      <c r="K27" s="122"/>
      <c r="L27" s="122"/>
      <c r="M27" s="122"/>
      <c r="N27" s="122"/>
      <c r="O27" s="122"/>
    </row>
    <row r="28" spans="1:15" ht="15" customHeight="1" x14ac:dyDescent="0.25">
      <c r="A28" s="120">
        <v>0.1</v>
      </c>
      <c r="B28" s="119"/>
      <c r="C28" s="119"/>
      <c r="D28" s="119"/>
      <c r="E28" s="119"/>
      <c r="F28" s="119"/>
      <c r="G28" s="119"/>
      <c r="I28" s="120">
        <v>0.05</v>
      </c>
      <c r="J28" s="122"/>
      <c r="K28" s="122"/>
      <c r="L28" s="122"/>
      <c r="M28" s="122"/>
      <c r="N28" s="122"/>
      <c r="O28" s="122"/>
    </row>
    <row r="29" spans="1:15" ht="15" customHeight="1" x14ac:dyDescent="0.25">
      <c r="A29" s="120">
        <v>0.2</v>
      </c>
      <c r="B29" s="119"/>
      <c r="C29" s="119"/>
      <c r="D29" s="119"/>
      <c r="E29" s="119"/>
      <c r="F29" s="119"/>
      <c r="G29" s="119"/>
      <c r="I29" s="120">
        <v>0.1</v>
      </c>
      <c r="J29" s="122"/>
      <c r="K29" s="122"/>
      <c r="L29" s="122"/>
      <c r="M29" s="122"/>
      <c r="N29" s="122"/>
      <c r="O29" s="122"/>
    </row>
    <row r="32" spans="1:15" ht="19.5" customHeight="1" x14ac:dyDescent="0.25">
      <c r="A32" s="177" t="s">
        <v>610</v>
      </c>
      <c r="B32" s="177"/>
      <c r="C32" s="177"/>
      <c r="D32" s="177"/>
      <c r="E32" s="177"/>
      <c r="F32" s="177"/>
      <c r="G32" s="177"/>
      <c r="I32" s="177" t="s">
        <v>611</v>
      </c>
      <c r="J32" s="177"/>
      <c r="K32" s="177"/>
      <c r="L32" s="177"/>
      <c r="M32" s="177"/>
      <c r="N32" s="177"/>
    </row>
    <row r="33" spans="1:15" ht="15" customHeight="1" x14ac:dyDescent="0.25">
      <c r="A33" s="54" t="s">
        <v>612</v>
      </c>
      <c r="B33" s="120">
        <v>-0.1</v>
      </c>
      <c r="C33" s="120">
        <v>-0.05</v>
      </c>
      <c r="D33" s="120">
        <v>0</v>
      </c>
      <c r="E33" s="120">
        <v>0.05</v>
      </c>
      <c r="F33" s="120">
        <v>0.1</v>
      </c>
      <c r="G33" s="120">
        <v>0.15</v>
      </c>
      <c r="I33" s="54" t="s">
        <v>613</v>
      </c>
      <c r="J33" s="121">
        <v>1000000</v>
      </c>
      <c r="K33" s="121">
        <v>2000000</v>
      </c>
      <c r="L33" s="121">
        <v>3000000</v>
      </c>
      <c r="M33" s="121">
        <v>4500000</v>
      </c>
      <c r="N33" s="121">
        <v>6000000</v>
      </c>
      <c r="O33" s="121">
        <v>9000000</v>
      </c>
    </row>
    <row r="34" spans="1:15" ht="15" customHeight="1" x14ac:dyDescent="0.25">
      <c r="A34" s="121">
        <v>15000000</v>
      </c>
      <c r="B34" s="122"/>
      <c r="C34" s="122"/>
      <c r="D34" s="122"/>
      <c r="E34" s="122"/>
      <c r="F34" s="122"/>
      <c r="G34" s="122"/>
      <c r="I34" s="120">
        <v>0.01</v>
      </c>
      <c r="J34" s="119"/>
      <c r="K34" s="119"/>
      <c r="L34" s="119"/>
      <c r="M34" s="119"/>
      <c r="N34" s="119"/>
      <c r="O34" s="119"/>
    </row>
    <row r="35" spans="1:15" ht="15" customHeight="1" x14ac:dyDescent="0.25">
      <c r="A35" s="121">
        <v>18000000</v>
      </c>
      <c r="B35" s="122"/>
      <c r="C35" s="122"/>
      <c r="D35" s="122"/>
      <c r="E35" s="122"/>
      <c r="F35" s="122"/>
      <c r="G35" s="122"/>
      <c r="I35" s="120">
        <v>0.02</v>
      </c>
      <c r="J35" s="119"/>
      <c r="K35" s="119"/>
      <c r="L35" s="119"/>
      <c r="M35" s="119"/>
      <c r="N35" s="119"/>
      <c r="O35" s="119"/>
    </row>
    <row r="36" spans="1:15" ht="15" customHeight="1" x14ac:dyDescent="0.25">
      <c r="A36" s="121">
        <v>20000000</v>
      </c>
      <c r="B36" s="122"/>
      <c r="C36" s="122"/>
      <c r="D36" s="122"/>
      <c r="E36" s="122"/>
      <c r="F36" s="122"/>
      <c r="G36" s="122"/>
      <c r="I36" s="120">
        <v>0.03</v>
      </c>
      <c r="J36" s="119"/>
      <c r="K36" s="119"/>
      <c r="L36" s="119"/>
      <c r="M36" s="119"/>
      <c r="N36" s="119"/>
      <c r="O36" s="119"/>
    </row>
    <row r="37" spans="1:15" ht="15" customHeight="1" x14ac:dyDescent="0.25">
      <c r="A37" s="121">
        <v>22000000</v>
      </c>
      <c r="B37" s="122"/>
      <c r="C37" s="122"/>
      <c r="D37" s="122"/>
      <c r="E37" s="122"/>
      <c r="F37" s="122"/>
      <c r="G37" s="122"/>
      <c r="I37" s="120">
        <v>0.05</v>
      </c>
      <c r="J37" s="119"/>
      <c r="K37" s="119"/>
      <c r="L37" s="119"/>
      <c r="M37" s="119"/>
      <c r="N37" s="119"/>
      <c r="O37" s="119"/>
    </row>
    <row r="38" spans="1:15" ht="15" customHeight="1" x14ac:dyDescent="0.25">
      <c r="A38" s="121">
        <v>24000000</v>
      </c>
      <c r="B38" s="122"/>
      <c r="C38" s="122"/>
      <c r="D38" s="122"/>
      <c r="E38" s="122"/>
      <c r="F38" s="122"/>
      <c r="G38" s="122"/>
      <c r="I38" s="120">
        <v>7.0000000000000007E-2</v>
      </c>
      <c r="J38" s="119"/>
      <c r="K38" s="119"/>
      <c r="L38" s="119"/>
      <c r="M38" s="119"/>
      <c r="N38" s="119"/>
      <c r="O38" s="119"/>
    </row>
    <row r="41" spans="1:15" ht="19.5" customHeight="1" x14ac:dyDescent="0.25">
      <c r="A41" s="177" t="s">
        <v>614</v>
      </c>
      <c r="B41" s="177"/>
      <c r="C41" s="177"/>
      <c r="D41" s="177"/>
      <c r="E41" s="177"/>
      <c r="F41" s="177"/>
      <c r="G41" s="177"/>
      <c r="I41" s="177" t="s">
        <v>615</v>
      </c>
      <c r="J41" s="177"/>
      <c r="K41" s="177"/>
      <c r="L41" s="177"/>
      <c r="M41" s="177"/>
      <c r="N41" s="177"/>
    </row>
    <row r="42" spans="1:15" ht="15" customHeight="1" x14ac:dyDescent="0.25">
      <c r="A42" s="54" t="s">
        <v>616</v>
      </c>
      <c r="B42" s="120">
        <v>0</v>
      </c>
      <c r="C42" s="120">
        <v>0.01</v>
      </c>
      <c r="D42" s="120">
        <v>0.02</v>
      </c>
      <c r="E42" s="120">
        <v>0.03</v>
      </c>
      <c r="F42" s="120">
        <v>0.04</v>
      </c>
      <c r="I42" s="54" t="s">
        <v>617</v>
      </c>
      <c r="J42" s="121">
        <v>2000000</v>
      </c>
      <c r="K42" s="121">
        <v>5000000</v>
      </c>
      <c r="L42" s="121">
        <v>8000000</v>
      </c>
      <c r="M42" s="121">
        <v>12000000</v>
      </c>
      <c r="N42" s="121">
        <v>16000000</v>
      </c>
      <c r="O42" s="121">
        <v>20000000</v>
      </c>
    </row>
    <row r="43" spans="1:15" ht="15" customHeight="1" x14ac:dyDescent="0.25">
      <c r="A43" s="118">
        <v>0.06</v>
      </c>
      <c r="B43" s="105"/>
      <c r="C43" s="105"/>
      <c r="D43" s="105"/>
      <c r="E43" s="105"/>
      <c r="F43" s="105"/>
      <c r="I43" s="120">
        <v>0.25</v>
      </c>
      <c r="J43" s="105"/>
      <c r="K43" s="105"/>
      <c r="L43" s="105"/>
      <c r="M43" s="105"/>
      <c r="N43" s="105"/>
      <c r="O43" s="105"/>
    </row>
    <row r="44" spans="1:15" ht="15" customHeight="1" x14ac:dyDescent="0.25">
      <c r="A44" s="118">
        <v>0.08</v>
      </c>
      <c r="B44" s="105"/>
      <c r="C44" s="105"/>
      <c r="D44" s="105"/>
      <c r="E44" s="105"/>
      <c r="F44" s="105"/>
      <c r="I44" s="120">
        <v>0.5</v>
      </c>
      <c r="J44" s="105"/>
      <c r="K44" s="105"/>
      <c r="L44" s="105"/>
      <c r="M44" s="105"/>
      <c r="N44" s="105"/>
      <c r="O44" s="105"/>
    </row>
    <row r="45" spans="1:15" ht="15" customHeight="1" x14ac:dyDescent="0.25">
      <c r="A45" s="118">
        <v>0.1</v>
      </c>
      <c r="B45" s="105"/>
      <c r="C45" s="105"/>
      <c r="D45" s="105"/>
      <c r="E45" s="105"/>
      <c r="F45" s="105"/>
      <c r="I45" s="120">
        <v>0.75</v>
      </c>
      <c r="J45" s="105"/>
      <c r="K45" s="105"/>
      <c r="L45" s="105"/>
      <c r="M45" s="105"/>
      <c r="N45" s="105"/>
      <c r="O45" s="105"/>
    </row>
    <row r="46" spans="1:15" ht="15" customHeight="1" x14ac:dyDescent="0.25">
      <c r="A46" s="118">
        <v>0.12</v>
      </c>
      <c r="B46" s="105"/>
      <c r="C46" s="105"/>
      <c r="D46" s="105"/>
      <c r="E46" s="105"/>
      <c r="F46" s="105"/>
      <c r="I46" s="120">
        <v>0.95</v>
      </c>
      <c r="J46" s="105"/>
      <c r="K46" s="105"/>
      <c r="L46" s="105"/>
      <c r="M46" s="105"/>
      <c r="N46" s="105"/>
      <c r="O46" s="105"/>
    </row>
    <row r="47" spans="1:15" ht="15" customHeight="1" x14ac:dyDescent="0.25">
      <c r="A47" s="118">
        <v>0.14000000000000001</v>
      </c>
      <c r="B47" s="105"/>
      <c r="C47" s="105"/>
      <c r="D47" s="105"/>
      <c r="E47" s="105"/>
      <c r="F47" s="105"/>
      <c r="I47" s="120">
        <v>1</v>
      </c>
      <c r="J47" s="105"/>
      <c r="K47" s="105"/>
      <c r="L47" s="105"/>
      <c r="M47" s="105"/>
      <c r="N47" s="105"/>
      <c r="O47" s="105"/>
    </row>
    <row r="49" spans="1:14" ht="18.75" customHeight="1" x14ac:dyDescent="0.25">
      <c r="I49" s="3" t="s">
        <v>618</v>
      </c>
      <c r="J49" s="3"/>
      <c r="K49" s="3"/>
      <c r="L49" s="3"/>
      <c r="M49" s="3"/>
      <c r="N49" s="3"/>
    </row>
    <row r="51" spans="1:14" ht="19.5" customHeight="1" x14ac:dyDescent="0.2">
      <c r="A51" s="8" t="s">
        <v>619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</row>
    <row r="52" spans="1:14" ht="21.75" customHeight="1" x14ac:dyDescent="0.25">
      <c r="A52" s="178" t="s">
        <v>620</v>
      </c>
      <c r="B52" s="178"/>
      <c r="C52" s="178"/>
      <c r="D52" s="178"/>
      <c r="E52" s="178"/>
      <c r="F52" s="123"/>
    </row>
    <row r="53" spans="1:14" ht="21.75" customHeight="1" x14ac:dyDescent="0.25">
      <c r="A53" s="178" t="s">
        <v>621</v>
      </c>
      <c r="B53" s="178"/>
      <c r="C53" s="178"/>
      <c r="D53" s="178"/>
      <c r="E53" s="178"/>
      <c r="F53" s="123"/>
    </row>
    <row r="54" spans="1:14" ht="21.75" customHeight="1" x14ac:dyDescent="0.25">
      <c r="A54" s="178" t="s">
        <v>622</v>
      </c>
      <c r="B54" s="178"/>
      <c r="C54" s="178"/>
      <c r="D54" s="178"/>
      <c r="E54" s="178"/>
      <c r="F54" s="124"/>
    </row>
    <row r="55" spans="1:14" ht="21.75" customHeight="1" x14ac:dyDescent="0.25">
      <c r="A55" s="178" t="s">
        <v>623</v>
      </c>
      <c r="B55" s="178"/>
      <c r="C55" s="178"/>
      <c r="D55" s="178"/>
      <c r="E55" s="178"/>
      <c r="F55" s="124"/>
    </row>
    <row r="56" spans="1:14" ht="21.75" customHeight="1" x14ac:dyDescent="0.25">
      <c r="A56" s="178" t="s">
        <v>624</v>
      </c>
      <c r="B56" s="178"/>
      <c r="C56" s="178"/>
      <c r="D56" s="178"/>
      <c r="E56" s="178"/>
      <c r="F56" s="124"/>
    </row>
    <row r="57" spans="1:14" ht="21.75" customHeight="1" x14ac:dyDescent="0.25">
      <c r="A57" s="178" t="s">
        <v>625</v>
      </c>
      <c r="B57" s="178"/>
      <c r="C57" s="178"/>
      <c r="D57" s="178"/>
      <c r="E57" s="178"/>
      <c r="F57" s="124"/>
    </row>
    <row r="58" spans="1:14" ht="21.75" customHeight="1" x14ac:dyDescent="0.25">
      <c r="A58" s="178" t="s">
        <v>626</v>
      </c>
      <c r="B58" s="178"/>
      <c r="C58" s="178"/>
      <c r="D58" s="178"/>
      <c r="E58" s="178"/>
      <c r="F58" s="124"/>
    </row>
    <row r="59" spans="1:14" ht="21.75" customHeight="1" x14ac:dyDescent="0.25">
      <c r="A59" s="178" t="s">
        <v>627</v>
      </c>
      <c r="B59" s="178"/>
      <c r="C59" s="178"/>
      <c r="D59" s="178"/>
      <c r="E59" s="178"/>
      <c r="F59" s="124"/>
    </row>
    <row r="60" spans="1:14" ht="21.75" customHeight="1" x14ac:dyDescent="0.25">
      <c r="A60" s="178" t="s">
        <v>628</v>
      </c>
      <c r="B60" s="178"/>
      <c r="C60" s="178"/>
      <c r="D60" s="178"/>
      <c r="E60" s="178"/>
      <c r="F60" s="125"/>
      <c r="G60" s="126"/>
      <c r="H60" s="126"/>
    </row>
    <row r="61" spans="1:14" ht="21.75" customHeight="1" x14ac:dyDescent="0.25">
      <c r="A61" s="178" t="s">
        <v>629</v>
      </c>
      <c r="B61" s="178"/>
      <c r="C61" s="178"/>
      <c r="D61" s="178"/>
      <c r="E61" s="178"/>
      <c r="F61" s="123"/>
    </row>
    <row r="62" spans="1:14" ht="19.5" customHeight="1" x14ac:dyDescent="0.2">
      <c r="A62" s="8" t="s">
        <v>630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  <row r="63" spans="1:14" ht="30" customHeight="1" x14ac:dyDescent="0.25">
      <c r="A63" s="127" t="s">
        <v>631</v>
      </c>
      <c r="B63" s="127" t="s">
        <v>632</v>
      </c>
      <c r="C63" s="127" t="s">
        <v>633</v>
      </c>
      <c r="D63" s="127" t="s">
        <v>634</v>
      </c>
      <c r="E63" s="127" t="s">
        <v>635</v>
      </c>
      <c r="F63" s="127" t="s">
        <v>636</v>
      </c>
      <c r="G63" s="127" t="s">
        <v>637</v>
      </c>
      <c r="H63" s="127" t="s">
        <v>638</v>
      </c>
      <c r="I63" s="127" t="s">
        <v>639</v>
      </c>
      <c r="J63" s="127" t="s">
        <v>640</v>
      </c>
      <c r="K63" s="127" t="s">
        <v>641</v>
      </c>
    </row>
    <row r="64" spans="1:14" ht="25.5" customHeight="1" x14ac:dyDescent="0.25">
      <c r="A64" s="128" t="s">
        <v>642</v>
      </c>
      <c r="B64" s="86" t="s">
        <v>643</v>
      </c>
      <c r="C64" s="129">
        <v>3</v>
      </c>
      <c r="D64" s="38" t="s">
        <v>548</v>
      </c>
      <c r="E64" s="98"/>
      <c r="F64" s="130"/>
      <c r="G64" s="131"/>
      <c r="H64" s="97"/>
      <c r="I64" s="132"/>
      <c r="J64" s="131"/>
      <c r="K64" s="133" t="s">
        <v>644</v>
      </c>
    </row>
    <row r="65" spans="1:15" ht="25.5" customHeight="1" x14ac:dyDescent="0.25">
      <c r="A65" s="128" t="s">
        <v>645</v>
      </c>
      <c r="B65" s="86" t="s">
        <v>248</v>
      </c>
      <c r="C65" s="129">
        <v>3</v>
      </c>
      <c r="D65" s="38" t="s">
        <v>548</v>
      </c>
      <c r="E65" s="98"/>
      <c r="F65" s="130"/>
      <c r="G65" s="131"/>
      <c r="H65" s="97"/>
      <c r="I65" s="132"/>
      <c r="J65" s="131"/>
      <c r="K65" s="133" t="s">
        <v>646</v>
      </c>
    </row>
    <row r="66" spans="1:15" ht="25.5" customHeight="1" x14ac:dyDescent="0.25">
      <c r="A66" s="128" t="s">
        <v>647</v>
      </c>
      <c r="B66" s="86" t="s">
        <v>648</v>
      </c>
      <c r="C66" s="129">
        <v>3</v>
      </c>
      <c r="D66" s="38" t="s">
        <v>649</v>
      </c>
      <c r="E66" s="98"/>
      <c r="F66" s="130"/>
      <c r="G66" s="131"/>
      <c r="H66" s="97"/>
      <c r="I66" s="132"/>
      <c r="J66" s="131"/>
      <c r="K66" s="133" t="s">
        <v>650</v>
      </c>
    </row>
    <row r="67" spans="1:15" ht="25.5" customHeight="1" x14ac:dyDescent="0.25">
      <c r="A67" s="128" t="s">
        <v>651</v>
      </c>
      <c r="B67" s="86" t="s">
        <v>652</v>
      </c>
      <c r="C67" s="134">
        <v>2</v>
      </c>
      <c r="D67" s="38" t="s">
        <v>653</v>
      </c>
      <c r="E67" s="98"/>
      <c r="F67" s="130"/>
      <c r="G67" s="131"/>
      <c r="H67" s="97"/>
      <c r="I67" s="132"/>
      <c r="J67" s="131"/>
      <c r="K67" s="133" t="s">
        <v>654</v>
      </c>
    </row>
    <row r="68" spans="1:15" ht="25.5" customHeight="1" x14ac:dyDescent="0.25">
      <c r="A68" s="128" t="s">
        <v>655</v>
      </c>
      <c r="B68" s="86" t="s">
        <v>656</v>
      </c>
      <c r="C68" s="129">
        <v>3</v>
      </c>
      <c r="D68" s="38" t="s">
        <v>653</v>
      </c>
      <c r="E68" s="98"/>
      <c r="F68" s="130"/>
      <c r="G68" s="131"/>
      <c r="H68" s="97"/>
      <c r="I68" s="132"/>
      <c r="J68" s="131"/>
      <c r="K68" s="133" t="s">
        <v>657</v>
      </c>
    </row>
    <row r="69" spans="1:15" ht="25.5" customHeight="1" x14ac:dyDescent="0.25">
      <c r="A69" s="128" t="s">
        <v>658</v>
      </c>
      <c r="B69" s="86" t="s">
        <v>659</v>
      </c>
      <c r="C69" s="129">
        <v>3</v>
      </c>
      <c r="D69" s="38" t="s">
        <v>660</v>
      </c>
      <c r="E69" s="98"/>
      <c r="F69" s="130"/>
      <c r="G69" s="131"/>
      <c r="H69" s="97"/>
      <c r="I69" s="132"/>
      <c r="J69" s="131"/>
      <c r="K69" s="133" t="s">
        <v>661</v>
      </c>
    </row>
    <row r="70" spans="1:15" ht="25.5" customHeight="1" x14ac:dyDescent="0.25">
      <c r="A70" s="128" t="s">
        <v>662</v>
      </c>
      <c r="B70" s="86" t="s">
        <v>663</v>
      </c>
      <c r="C70" s="135">
        <v>1</v>
      </c>
      <c r="D70" s="38" t="s">
        <v>664</v>
      </c>
      <c r="E70" s="98"/>
      <c r="F70" s="130"/>
      <c r="G70" s="131"/>
      <c r="H70" s="97"/>
      <c r="I70" s="132"/>
      <c r="J70" s="131"/>
      <c r="K70" s="133" t="s">
        <v>665</v>
      </c>
    </row>
    <row r="71" spans="1:15" ht="25.5" customHeight="1" x14ac:dyDescent="0.25">
      <c r="A71" s="128" t="s">
        <v>666</v>
      </c>
      <c r="B71" s="86" t="s">
        <v>667</v>
      </c>
      <c r="C71" s="135">
        <v>1</v>
      </c>
      <c r="D71" s="38" t="s">
        <v>664</v>
      </c>
      <c r="E71" s="98"/>
      <c r="F71" s="130"/>
      <c r="G71" s="131"/>
      <c r="H71" s="97"/>
      <c r="I71" s="132"/>
      <c r="J71" s="131"/>
      <c r="K71" s="133" t="s">
        <v>668</v>
      </c>
    </row>
    <row r="72" spans="1:15" ht="25.5" customHeight="1" x14ac:dyDescent="0.25">
      <c r="A72" s="128" t="s">
        <v>669</v>
      </c>
      <c r="B72" s="86" t="s">
        <v>670</v>
      </c>
      <c r="C72" s="134">
        <v>2</v>
      </c>
      <c r="D72" s="38" t="s">
        <v>653</v>
      </c>
      <c r="E72" s="98"/>
      <c r="F72" s="130"/>
      <c r="G72" s="131"/>
      <c r="H72" s="97"/>
      <c r="I72" s="132"/>
      <c r="J72" s="131"/>
      <c r="K72" s="133" t="s">
        <v>671</v>
      </c>
    </row>
    <row r="73" spans="1:15" ht="25.5" customHeight="1" x14ac:dyDescent="0.25">
      <c r="A73" s="128" t="s">
        <v>672</v>
      </c>
      <c r="B73" s="86" t="s">
        <v>673</v>
      </c>
      <c r="C73" s="129">
        <v>3</v>
      </c>
      <c r="D73" s="38" t="s">
        <v>664</v>
      </c>
      <c r="E73" s="98"/>
      <c r="F73" s="130"/>
      <c r="G73" s="131"/>
      <c r="H73" s="97"/>
      <c r="I73" s="132"/>
      <c r="J73" s="131"/>
      <c r="K73" s="133" t="s">
        <v>674</v>
      </c>
    </row>
    <row r="75" spans="1:15" ht="24" customHeight="1" x14ac:dyDescent="0.2">
      <c r="A75" s="3" t="s">
        <v>675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</row>
    <row r="80" spans="1:15" ht="15" customHeight="1" x14ac:dyDescent="0.25">
      <c r="A80" s="65" t="s">
        <v>676</v>
      </c>
      <c r="B80" s="136"/>
      <c r="C80" s="136"/>
      <c r="D80" s="136"/>
      <c r="E80" s="136"/>
      <c r="F80" s="136"/>
      <c r="G80" s="136"/>
      <c r="I80" s="65" t="s">
        <v>676</v>
      </c>
      <c r="J80" s="136"/>
      <c r="K80" s="136"/>
      <c r="L80" s="136"/>
      <c r="M80" s="136"/>
      <c r="N80" s="136"/>
      <c r="O80" s="136"/>
    </row>
    <row r="81" spans="1:15" ht="15" customHeight="1" x14ac:dyDescent="0.25">
      <c r="A81" s="137"/>
      <c r="B81" s="136"/>
      <c r="C81" s="136"/>
      <c r="D81" s="136"/>
      <c r="E81" s="136"/>
      <c r="F81" s="136"/>
      <c r="G81" s="136"/>
      <c r="I81" s="138"/>
      <c r="J81" s="136"/>
      <c r="K81" s="136"/>
      <c r="L81" s="136"/>
      <c r="M81" s="136"/>
      <c r="N81" s="136"/>
      <c r="O81" s="136"/>
    </row>
    <row r="82" spans="1:15" ht="15" customHeight="1" x14ac:dyDescent="0.25">
      <c r="A82" s="137"/>
      <c r="B82" s="136"/>
      <c r="C82" s="136"/>
      <c r="D82" s="136"/>
      <c r="E82" s="136"/>
      <c r="F82" s="136"/>
      <c r="G82" s="136"/>
      <c r="I82" s="138"/>
      <c r="J82" s="136"/>
      <c r="K82" s="136"/>
      <c r="L82" s="136"/>
      <c r="M82" s="136"/>
      <c r="N82" s="136"/>
      <c r="O82" s="136"/>
    </row>
    <row r="83" spans="1:15" ht="15" customHeight="1" x14ac:dyDescent="0.25">
      <c r="A83" s="137"/>
      <c r="B83" s="136"/>
      <c r="C83" s="136"/>
      <c r="D83" s="136"/>
      <c r="E83" s="136"/>
      <c r="F83" s="136"/>
      <c r="G83" s="136"/>
      <c r="I83" s="138"/>
      <c r="J83" s="136"/>
      <c r="K83" s="136"/>
      <c r="L83" s="136"/>
      <c r="M83" s="136"/>
      <c r="N83" s="136"/>
      <c r="O83" s="136"/>
    </row>
    <row r="84" spans="1:15" ht="15" customHeight="1" x14ac:dyDescent="0.25">
      <c r="A84" s="137"/>
      <c r="B84" s="136"/>
      <c r="C84" s="136"/>
      <c r="D84" s="136"/>
      <c r="E84" s="136"/>
      <c r="F84" s="136"/>
      <c r="G84" s="136"/>
      <c r="I84" s="138"/>
      <c r="J84" s="136"/>
      <c r="K84" s="136"/>
      <c r="L84" s="136"/>
      <c r="M84" s="136"/>
      <c r="N84" s="136"/>
      <c r="O84" s="136"/>
    </row>
    <row r="85" spans="1:15" ht="15" customHeight="1" x14ac:dyDescent="0.25">
      <c r="A85" s="137"/>
      <c r="B85" s="136"/>
      <c r="C85" s="136"/>
      <c r="D85" s="136"/>
      <c r="E85" s="136"/>
      <c r="F85" s="136"/>
      <c r="G85" s="136"/>
      <c r="I85" s="138"/>
      <c r="J85" s="136"/>
      <c r="K85" s="136"/>
      <c r="L85" s="136"/>
      <c r="M85" s="136"/>
      <c r="N85" s="136"/>
      <c r="O85" s="136"/>
    </row>
    <row r="87" spans="1:15" ht="15" customHeight="1" x14ac:dyDescent="0.25">
      <c r="A87" s="65" t="s">
        <v>677</v>
      </c>
      <c r="B87" s="136"/>
      <c r="C87" s="136"/>
      <c r="D87" s="136"/>
      <c r="E87" s="136"/>
      <c r="F87" s="136"/>
      <c r="G87" s="136"/>
      <c r="I87" s="65" t="s">
        <v>677</v>
      </c>
      <c r="J87" s="136"/>
      <c r="K87" s="136"/>
      <c r="L87" s="136"/>
      <c r="M87" s="136"/>
      <c r="N87" s="136"/>
      <c r="O87" s="136"/>
    </row>
    <row r="88" spans="1:15" ht="15" customHeight="1" x14ac:dyDescent="0.25">
      <c r="A88" s="137"/>
      <c r="B88" s="136"/>
      <c r="C88" s="136"/>
      <c r="D88" s="136"/>
      <c r="E88" s="136"/>
      <c r="F88" s="136"/>
      <c r="G88" s="136"/>
      <c r="I88" s="138"/>
      <c r="J88" s="136"/>
      <c r="K88" s="136"/>
      <c r="L88" s="136"/>
      <c r="M88" s="136"/>
      <c r="N88" s="136"/>
      <c r="O88" s="136"/>
    </row>
    <row r="89" spans="1:15" ht="15" customHeight="1" x14ac:dyDescent="0.25">
      <c r="A89" s="137"/>
      <c r="B89" s="136"/>
      <c r="C89" s="136"/>
      <c r="D89" s="136"/>
      <c r="E89" s="136"/>
      <c r="F89" s="136"/>
      <c r="G89" s="136"/>
      <c r="I89" s="138"/>
      <c r="J89" s="136"/>
      <c r="K89" s="136"/>
      <c r="L89" s="136"/>
      <c r="M89" s="136"/>
      <c r="N89" s="136"/>
      <c r="O89" s="136"/>
    </row>
    <row r="90" spans="1:15" ht="15" customHeight="1" x14ac:dyDescent="0.25">
      <c r="A90" s="137"/>
      <c r="B90" s="136"/>
      <c r="C90" s="136"/>
      <c r="D90" s="136"/>
      <c r="E90" s="136"/>
      <c r="F90" s="136"/>
      <c r="G90" s="136"/>
      <c r="I90" s="138"/>
      <c r="J90" s="136"/>
      <c r="K90" s="136"/>
      <c r="L90" s="136"/>
      <c r="M90" s="136"/>
      <c r="N90" s="136"/>
      <c r="O90" s="136"/>
    </row>
    <row r="91" spans="1:15" ht="15" customHeight="1" x14ac:dyDescent="0.25">
      <c r="A91" s="137"/>
      <c r="B91" s="136"/>
      <c r="C91" s="136"/>
      <c r="D91" s="136"/>
      <c r="E91" s="136"/>
      <c r="F91" s="136"/>
      <c r="G91" s="136"/>
      <c r="I91" s="138"/>
      <c r="J91" s="136"/>
      <c r="K91" s="136"/>
      <c r="L91" s="136"/>
      <c r="M91" s="136"/>
      <c r="N91" s="136"/>
      <c r="O91" s="136"/>
    </row>
    <row r="92" spans="1:15" ht="15" customHeight="1" x14ac:dyDescent="0.25">
      <c r="A92" s="137"/>
      <c r="B92" s="136"/>
      <c r="C92" s="136"/>
      <c r="D92" s="136"/>
      <c r="E92" s="136"/>
      <c r="F92" s="136"/>
      <c r="G92" s="136"/>
      <c r="I92" s="138"/>
      <c r="J92" s="136"/>
      <c r="K92" s="136"/>
      <c r="L92" s="136"/>
      <c r="M92" s="136"/>
      <c r="N92" s="136"/>
      <c r="O92" s="136"/>
    </row>
    <row r="94" spans="1:15" ht="15" customHeight="1" x14ac:dyDescent="0.25">
      <c r="A94" s="65" t="s">
        <v>678</v>
      </c>
      <c r="B94" s="136"/>
      <c r="C94" s="136"/>
      <c r="D94" s="136"/>
      <c r="E94" s="136"/>
      <c r="F94" s="136"/>
      <c r="G94" s="136"/>
      <c r="I94" s="65" t="s">
        <v>678</v>
      </c>
      <c r="J94" s="136"/>
      <c r="K94" s="136"/>
      <c r="L94" s="136"/>
      <c r="M94" s="136"/>
      <c r="N94" s="136"/>
      <c r="O94" s="136"/>
    </row>
    <row r="95" spans="1:15" ht="15" customHeight="1" x14ac:dyDescent="0.25">
      <c r="A95" s="137"/>
      <c r="B95" s="136"/>
      <c r="C95" s="136"/>
      <c r="D95" s="136"/>
      <c r="E95" s="136"/>
      <c r="F95" s="136"/>
      <c r="G95" s="136"/>
      <c r="I95" s="138"/>
      <c r="J95" s="136"/>
      <c r="K95" s="136"/>
      <c r="L95" s="136"/>
      <c r="M95" s="136"/>
      <c r="N95" s="136"/>
      <c r="O95" s="136"/>
    </row>
    <row r="96" spans="1:15" ht="15" customHeight="1" x14ac:dyDescent="0.25">
      <c r="A96" s="137"/>
      <c r="B96" s="136"/>
      <c r="C96" s="136"/>
      <c r="D96" s="136"/>
      <c r="E96" s="136"/>
      <c r="F96" s="136"/>
      <c r="G96" s="136"/>
      <c r="I96" s="138"/>
      <c r="J96" s="136"/>
      <c r="K96" s="136"/>
      <c r="L96" s="136"/>
      <c r="M96" s="136"/>
      <c r="N96" s="136"/>
      <c r="O96" s="136"/>
    </row>
    <row r="97" spans="1:15" ht="15" customHeight="1" x14ac:dyDescent="0.25">
      <c r="A97" s="137"/>
      <c r="B97" s="136"/>
      <c r="C97" s="136"/>
      <c r="D97" s="136"/>
      <c r="E97" s="136"/>
      <c r="F97" s="136"/>
      <c r="G97" s="136"/>
      <c r="I97" s="138"/>
      <c r="J97" s="136"/>
      <c r="K97" s="136"/>
      <c r="L97" s="136"/>
      <c r="M97" s="136"/>
      <c r="N97" s="136"/>
      <c r="O97" s="136"/>
    </row>
    <row r="98" spans="1:15" ht="15" customHeight="1" x14ac:dyDescent="0.25">
      <c r="A98" s="137"/>
      <c r="B98" s="136"/>
      <c r="C98" s="136"/>
      <c r="D98" s="136"/>
      <c r="E98" s="136"/>
      <c r="F98" s="136"/>
      <c r="G98" s="136"/>
      <c r="I98" s="138"/>
      <c r="J98" s="136"/>
      <c r="K98" s="136"/>
      <c r="L98" s="136"/>
      <c r="M98" s="136"/>
      <c r="N98" s="136"/>
      <c r="O98" s="136"/>
    </row>
    <row r="99" spans="1:15" ht="15" customHeight="1" x14ac:dyDescent="0.25">
      <c r="A99" s="137"/>
      <c r="B99" s="136"/>
      <c r="C99" s="136"/>
      <c r="D99" s="136"/>
      <c r="E99" s="136"/>
      <c r="F99" s="136"/>
      <c r="G99" s="136"/>
      <c r="I99" s="138"/>
      <c r="J99" s="136"/>
      <c r="K99" s="136"/>
      <c r="L99" s="136"/>
      <c r="M99" s="136"/>
      <c r="N99" s="136"/>
      <c r="O99" s="136"/>
    </row>
    <row r="105" spans="1:15" ht="15" customHeight="1" x14ac:dyDescent="0.25">
      <c r="A105" s="65" t="s">
        <v>676</v>
      </c>
      <c r="B105" s="136"/>
      <c r="C105" s="136"/>
      <c r="D105" s="136"/>
      <c r="E105" s="136"/>
      <c r="F105" s="136"/>
      <c r="G105" s="136"/>
      <c r="I105" s="65" t="s">
        <v>676</v>
      </c>
      <c r="J105" s="139"/>
      <c r="K105" s="139"/>
      <c r="L105" s="139"/>
      <c r="M105" s="139"/>
      <c r="N105" s="139"/>
      <c r="O105" s="139"/>
    </row>
    <row r="106" spans="1:15" ht="15" customHeight="1" x14ac:dyDescent="0.25">
      <c r="A106" s="138"/>
      <c r="B106" s="136"/>
      <c r="C106" s="136"/>
      <c r="D106" s="136"/>
      <c r="E106" s="136"/>
      <c r="F106" s="136"/>
      <c r="G106" s="136"/>
      <c r="I106" s="138"/>
      <c r="J106" s="136"/>
      <c r="K106" s="136"/>
      <c r="L106" s="136"/>
      <c r="M106" s="136"/>
      <c r="N106" s="136"/>
      <c r="O106" s="136"/>
    </row>
    <row r="107" spans="1:15" ht="15" customHeight="1" x14ac:dyDescent="0.25">
      <c r="A107" s="138"/>
      <c r="B107" s="136"/>
      <c r="C107" s="136"/>
      <c r="D107" s="136"/>
      <c r="E107" s="136"/>
      <c r="F107" s="136"/>
      <c r="G107" s="136"/>
      <c r="I107" s="138"/>
      <c r="J107" s="136"/>
      <c r="K107" s="136"/>
      <c r="L107" s="136"/>
      <c r="M107" s="136"/>
      <c r="N107" s="136"/>
      <c r="O107" s="136"/>
    </row>
    <row r="108" spans="1:15" ht="15" customHeight="1" x14ac:dyDescent="0.25">
      <c r="A108" s="138"/>
      <c r="B108" s="136"/>
      <c r="C108" s="136"/>
      <c r="D108" s="136"/>
      <c r="E108" s="136"/>
      <c r="F108" s="136"/>
      <c r="G108" s="136"/>
      <c r="I108" s="138"/>
      <c r="J108" s="136"/>
      <c r="K108" s="136"/>
      <c r="L108" s="136"/>
      <c r="M108" s="136"/>
      <c r="N108" s="136"/>
      <c r="O108" s="136"/>
    </row>
    <row r="109" spans="1:15" ht="15" customHeight="1" x14ac:dyDescent="0.25">
      <c r="A109" s="138"/>
      <c r="B109" s="136"/>
      <c r="C109" s="136"/>
      <c r="D109" s="136"/>
      <c r="E109" s="136"/>
      <c r="F109" s="136"/>
      <c r="G109" s="136"/>
      <c r="I109" s="138"/>
      <c r="J109" s="136"/>
      <c r="K109" s="136"/>
      <c r="L109" s="136"/>
      <c r="M109" s="136"/>
      <c r="N109" s="136"/>
      <c r="O109" s="136"/>
    </row>
    <row r="110" spans="1:15" ht="15" customHeight="1" x14ac:dyDescent="0.25">
      <c r="A110" s="138"/>
      <c r="B110" s="136"/>
      <c r="C110" s="136"/>
      <c r="D110" s="136"/>
      <c r="E110" s="136"/>
      <c r="F110" s="136"/>
      <c r="G110" s="136"/>
      <c r="I110" s="138"/>
      <c r="J110" s="136"/>
      <c r="K110" s="136"/>
      <c r="L110" s="136"/>
      <c r="M110" s="136"/>
      <c r="N110" s="136"/>
      <c r="O110" s="136"/>
    </row>
    <row r="112" spans="1:15" ht="15" customHeight="1" x14ac:dyDescent="0.25">
      <c r="A112" s="65" t="s">
        <v>677</v>
      </c>
      <c r="B112" s="136"/>
      <c r="C112" s="136"/>
      <c r="D112" s="136"/>
      <c r="E112" s="136"/>
      <c r="F112" s="136"/>
      <c r="G112" s="136"/>
      <c r="I112" s="65" t="s">
        <v>677</v>
      </c>
      <c r="J112" s="139"/>
      <c r="K112" s="139"/>
      <c r="L112" s="139"/>
      <c r="M112" s="139"/>
      <c r="N112" s="139"/>
      <c r="O112" s="139"/>
    </row>
    <row r="113" spans="1:15" ht="15" customHeight="1" x14ac:dyDescent="0.25">
      <c r="A113" s="138"/>
      <c r="B113" s="136"/>
      <c r="C113" s="136"/>
      <c r="D113" s="136"/>
      <c r="E113" s="136"/>
      <c r="F113" s="136"/>
      <c r="G113" s="136"/>
      <c r="I113" s="138"/>
      <c r="J113" s="136"/>
      <c r="K113" s="136"/>
      <c r="L113" s="136"/>
      <c r="M113" s="136"/>
      <c r="N113" s="136"/>
      <c r="O113" s="136"/>
    </row>
    <row r="114" spans="1:15" ht="15" customHeight="1" x14ac:dyDescent="0.25">
      <c r="A114" s="138"/>
      <c r="B114" s="136"/>
      <c r="C114" s="136"/>
      <c r="D114" s="136"/>
      <c r="E114" s="136"/>
      <c r="F114" s="136"/>
      <c r="G114" s="136"/>
      <c r="I114" s="138"/>
      <c r="J114" s="136"/>
      <c r="K114" s="136"/>
      <c r="L114" s="136"/>
      <c r="M114" s="136"/>
      <c r="N114" s="136"/>
      <c r="O114" s="136"/>
    </row>
    <row r="115" spans="1:15" ht="15" customHeight="1" x14ac:dyDescent="0.25">
      <c r="A115" s="138"/>
      <c r="B115" s="136"/>
      <c r="C115" s="136"/>
      <c r="D115" s="136"/>
      <c r="E115" s="136"/>
      <c r="F115" s="136"/>
      <c r="G115" s="136"/>
      <c r="I115" s="138"/>
      <c r="J115" s="136"/>
      <c r="K115" s="136"/>
      <c r="L115" s="136"/>
      <c r="M115" s="136"/>
      <c r="N115" s="136"/>
      <c r="O115" s="136"/>
    </row>
    <row r="116" spans="1:15" ht="15" customHeight="1" x14ac:dyDescent="0.25">
      <c r="A116" s="138"/>
      <c r="B116" s="136"/>
      <c r="C116" s="136"/>
      <c r="D116" s="136"/>
      <c r="E116" s="136"/>
      <c r="F116" s="136"/>
      <c r="G116" s="136"/>
      <c r="I116" s="138"/>
      <c r="J116" s="136"/>
      <c r="K116" s="136"/>
      <c r="L116" s="136"/>
      <c r="M116" s="136"/>
      <c r="N116" s="136"/>
      <c r="O116" s="136"/>
    </row>
    <row r="117" spans="1:15" ht="15" customHeight="1" x14ac:dyDescent="0.25">
      <c r="A117" s="138"/>
      <c r="B117" s="136"/>
      <c r="C117" s="136"/>
      <c r="D117" s="136"/>
      <c r="E117" s="136"/>
      <c r="F117" s="136"/>
      <c r="G117" s="136"/>
      <c r="I117" s="138"/>
      <c r="J117" s="136"/>
      <c r="K117" s="136"/>
      <c r="L117" s="136"/>
      <c r="M117" s="136"/>
      <c r="N117" s="136"/>
      <c r="O117" s="136"/>
    </row>
    <row r="119" spans="1:15" ht="15" customHeight="1" x14ac:dyDescent="0.25">
      <c r="A119" s="65" t="s">
        <v>678</v>
      </c>
      <c r="B119" s="136"/>
      <c r="C119" s="136"/>
      <c r="D119" s="136"/>
      <c r="E119" s="136"/>
      <c r="F119" s="136"/>
      <c r="G119" s="136"/>
      <c r="I119" s="65" t="s">
        <v>678</v>
      </c>
      <c r="J119" s="139"/>
      <c r="K119" s="139"/>
      <c r="L119" s="139"/>
      <c r="M119" s="139"/>
      <c r="N119" s="139"/>
      <c r="O119" s="139"/>
    </row>
    <row r="120" spans="1:15" ht="15" customHeight="1" x14ac:dyDescent="0.25">
      <c r="A120" s="138"/>
      <c r="B120" s="136"/>
      <c r="C120" s="136"/>
      <c r="D120" s="136"/>
      <c r="E120" s="136"/>
      <c r="F120" s="136"/>
      <c r="G120" s="136"/>
      <c r="I120" s="138"/>
      <c r="J120" s="136"/>
      <c r="K120" s="136"/>
      <c r="L120" s="136"/>
      <c r="M120" s="136"/>
      <c r="N120" s="136"/>
      <c r="O120" s="136"/>
    </row>
    <row r="121" spans="1:15" ht="15" customHeight="1" x14ac:dyDescent="0.25">
      <c r="A121" s="138"/>
      <c r="B121" s="136"/>
      <c r="C121" s="136"/>
      <c r="D121" s="136"/>
      <c r="E121" s="136"/>
      <c r="F121" s="136"/>
      <c r="G121" s="136"/>
      <c r="I121" s="138"/>
      <c r="J121" s="136"/>
      <c r="K121" s="136"/>
      <c r="L121" s="136"/>
      <c r="M121" s="136"/>
      <c r="N121" s="136"/>
      <c r="O121" s="136"/>
    </row>
    <row r="122" spans="1:15" ht="15" customHeight="1" x14ac:dyDescent="0.25">
      <c r="A122" s="138"/>
      <c r="B122" s="136"/>
      <c r="C122" s="136"/>
      <c r="D122" s="136"/>
      <c r="E122" s="136"/>
      <c r="F122" s="136"/>
      <c r="G122" s="136"/>
      <c r="I122" s="138"/>
      <c r="J122" s="136"/>
      <c r="K122" s="136"/>
      <c r="L122" s="136"/>
      <c r="M122" s="136"/>
      <c r="N122" s="136"/>
      <c r="O122" s="136"/>
    </row>
    <row r="123" spans="1:15" ht="15" customHeight="1" x14ac:dyDescent="0.25">
      <c r="A123" s="138"/>
      <c r="B123" s="136"/>
      <c r="C123" s="136"/>
      <c r="D123" s="136"/>
      <c r="E123" s="136"/>
      <c r="F123" s="136"/>
      <c r="G123" s="136"/>
      <c r="I123" s="138"/>
      <c r="J123" s="136"/>
      <c r="K123" s="136"/>
      <c r="L123" s="136"/>
      <c r="M123" s="136"/>
      <c r="N123" s="136"/>
      <c r="O123" s="136"/>
    </row>
    <row r="124" spans="1:15" ht="15" customHeight="1" x14ac:dyDescent="0.25">
      <c r="A124" s="138"/>
      <c r="B124" s="136"/>
      <c r="C124" s="136"/>
      <c r="D124" s="136"/>
      <c r="E124" s="136"/>
      <c r="F124" s="136"/>
      <c r="G124" s="136"/>
      <c r="I124" s="138"/>
      <c r="J124" s="136"/>
      <c r="K124" s="136"/>
      <c r="L124" s="136"/>
      <c r="M124" s="136"/>
      <c r="N124" s="136"/>
      <c r="O124" s="136"/>
    </row>
    <row r="130" spans="1:15" ht="15" customHeight="1" x14ac:dyDescent="0.25">
      <c r="A130" s="65" t="s">
        <v>676</v>
      </c>
      <c r="B130" s="138"/>
      <c r="C130" s="138"/>
      <c r="D130" s="138"/>
      <c r="E130" s="138"/>
      <c r="F130" s="138"/>
      <c r="G130" s="138"/>
      <c r="I130" s="65" t="s">
        <v>676</v>
      </c>
      <c r="J130" s="139"/>
      <c r="K130" s="139"/>
      <c r="L130" s="139"/>
      <c r="M130" s="139"/>
      <c r="N130" s="139"/>
      <c r="O130" s="139"/>
    </row>
    <row r="131" spans="1:15" ht="15" customHeight="1" x14ac:dyDescent="0.25">
      <c r="A131" s="138"/>
      <c r="B131" s="136"/>
      <c r="C131" s="136"/>
      <c r="D131" s="136"/>
      <c r="E131" s="136"/>
      <c r="F131" s="136"/>
      <c r="G131" s="136"/>
      <c r="I131" s="138"/>
      <c r="J131" s="136"/>
      <c r="K131" s="136"/>
      <c r="L131" s="136"/>
      <c r="M131" s="136"/>
      <c r="N131" s="136"/>
      <c r="O131" s="136"/>
    </row>
    <row r="132" spans="1:15" ht="15" customHeight="1" x14ac:dyDescent="0.25">
      <c r="A132" s="138"/>
      <c r="B132" s="136"/>
      <c r="C132" s="136"/>
      <c r="D132" s="136"/>
      <c r="E132" s="136"/>
      <c r="F132" s="136"/>
      <c r="G132" s="136"/>
      <c r="I132" s="138"/>
      <c r="J132" s="136"/>
      <c r="K132" s="136"/>
      <c r="L132" s="136"/>
      <c r="M132" s="136"/>
      <c r="N132" s="136"/>
      <c r="O132" s="136"/>
    </row>
    <row r="133" spans="1:15" ht="15" customHeight="1" x14ac:dyDescent="0.25">
      <c r="A133" s="138"/>
      <c r="B133" s="136"/>
      <c r="C133" s="136"/>
      <c r="D133" s="136"/>
      <c r="E133" s="136"/>
      <c r="F133" s="136"/>
      <c r="G133" s="136"/>
      <c r="I133" s="138"/>
      <c r="J133" s="136"/>
      <c r="K133" s="136"/>
      <c r="L133" s="136"/>
      <c r="M133" s="136"/>
      <c r="N133" s="136"/>
      <c r="O133" s="136"/>
    </row>
    <row r="134" spans="1:15" ht="15" customHeight="1" x14ac:dyDescent="0.25">
      <c r="A134" s="138"/>
      <c r="B134" s="136"/>
      <c r="C134" s="136"/>
      <c r="D134" s="136"/>
      <c r="E134" s="136"/>
      <c r="F134" s="136"/>
      <c r="G134" s="136"/>
      <c r="I134" s="138"/>
      <c r="J134" s="136"/>
      <c r="K134" s="136"/>
      <c r="L134" s="136"/>
      <c r="M134" s="136"/>
      <c r="N134" s="136"/>
      <c r="O134" s="136"/>
    </row>
    <row r="135" spans="1:15" ht="15" customHeight="1" x14ac:dyDescent="0.25">
      <c r="A135" s="138"/>
      <c r="B135" s="136"/>
      <c r="C135" s="136"/>
      <c r="D135" s="136"/>
      <c r="E135" s="136"/>
      <c r="F135" s="136"/>
      <c r="G135" s="136"/>
      <c r="I135" s="138"/>
      <c r="J135" s="136"/>
      <c r="K135" s="136"/>
      <c r="L135" s="136"/>
      <c r="M135" s="136"/>
      <c r="N135" s="136"/>
      <c r="O135" s="136"/>
    </row>
    <row r="137" spans="1:15" ht="15" customHeight="1" x14ac:dyDescent="0.25">
      <c r="A137" s="65" t="s">
        <v>677</v>
      </c>
      <c r="B137" s="138"/>
      <c r="C137" s="138"/>
      <c r="D137" s="138"/>
      <c r="E137" s="138"/>
      <c r="F137" s="138"/>
      <c r="G137" s="138"/>
      <c r="I137" s="65" t="s">
        <v>677</v>
      </c>
      <c r="J137" s="139"/>
      <c r="K137" s="139"/>
      <c r="L137" s="139"/>
      <c r="M137" s="139"/>
      <c r="N137" s="139"/>
      <c r="O137" s="139"/>
    </row>
    <row r="138" spans="1:15" ht="15" customHeight="1" x14ac:dyDescent="0.25">
      <c r="A138" s="138"/>
      <c r="B138" s="136"/>
      <c r="C138" s="136"/>
      <c r="D138" s="136"/>
      <c r="E138" s="136"/>
      <c r="F138" s="136"/>
      <c r="G138" s="136"/>
      <c r="I138" s="138"/>
      <c r="J138" s="136"/>
      <c r="K138" s="136"/>
      <c r="L138" s="136"/>
      <c r="M138" s="136"/>
      <c r="N138" s="136"/>
      <c r="O138" s="136"/>
    </row>
    <row r="139" spans="1:15" ht="15" customHeight="1" x14ac:dyDescent="0.25">
      <c r="A139" s="138"/>
      <c r="B139" s="136"/>
      <c r="C139" s="136"/>
      <c r="D139" s="136"/>
      <c r="E139" s="136"/>
      <c r="F139" s="136"/>
      <c r="G139" s="136"/>
      <c r="I139" s="138"/>
      <c r="J139" s="136"/>
      <c r="K139" s="136"/>
      <c r="L139" s="136"/>
      <c r="M139" s="136"/>
      <c r="N139" s="136"/>
      <c r="O139" s="136"/>
    </row>
    <row r="140" spans="1:15" ht="15" customHeight="1" x14ac:dyDescent="0.25">
      <c r="A140" s="138"/>
      <c r="B140" s="136"/>
      <c r="C140" s="136"/>
      <c r="D140" s="136"/>
      <c r="E140" s="136"/>
      <c r="F140" s="136"/>
      <c r="G140" s="136"/>
      <c r="I140" s="138"/>
      <c r="J140" s="136"/>
      <c r="K140" s="136"/>
      <c r="L140" s="136"/>
      <c r="M140" s="136"/>
      <c r="N140" s="136"/>
      <c r="O140" s="136"/>
    </row>
    <row r="141" spans="1:15" ht="15" customHeight="1" x14ac:dyDescent="0.25">
      <c r="A141" s="138"/>
      <c r="B141" s="136"/>
      <c r="C141" s="136"/>
      <c r="D141" s="136"/>
      <c r="E141" s="136"/>
      <c r="F141" s="136"/>
      <c r="G141" s="136"/>
      <c r="I141" s="138"/>
      <c r="J141" s="136"/>
      <c r="K141" s="136"/>
      <c r="L141" s="136"/>
      <c r="M141" s="136"/>
      <c r="N141" s="136"/>
      <c r="O141" s="136"/>
    </row>
    <row r="142" spans="1:15" ht="15" customHeight="1" x14ac:dyDescent="0.25">
      <c r="A142" s="138"/>
      <c r="B142" s="136"/>
      <c r="C142" s="136"/>
      <c r="D142" s="136"/>
      <c r="E142" s="136"/>
      <c r="F142" s="136"/>
      <c r="G142" s="136"/>
      <c r="I142" s="138"/>
      <c r="J142" s="136"/>
      <c r="K142" s="136"/>
      <c r="L142" s="136"/>
      <c r="M142" s="136"/>
      <c r="N142" s="136"/>
      <c r="O142" s="136"/>
    </row>
    <row r="144" spans="1:15" ht="15" customHeight="1" x14ac:dyDescent="0.25">
      <c r="A144" s="65" t="s">
        <v>678</v>
      </c>
      <c r="B144" s="138"/>
      <c r="C144" s="138"/>
      <c r="D144" s="138"/>
      <c r="E144" s="138"/>
      <c r="F144" s="138"/>
      <c r="G144" s="138"/>
      <c r="I144" s="65" t="s">
        <v>678</v>
      </c>
      <c r="J144" s="139"/>
      <c r="K144" s="139"/>
      <c r="L144" s="139"/>
      <c r="M144" s="139"/>
      <c r="N144" s="139"/>
      <c r="O144" s="139"/>
    </row>
    <row r="145" spans="1:15" ht="15" customHeight="1" x14ac:dyDescent="0.25">
      <c r="A145" s="138"/>
      <c r="B145" s="136"/>
      <c r="C145" s="136"/>
      <c r="D145" s="136"/>
      <c r="E145" s="136"/>
      <c r="F145" s="136"/>
      <c r="G145" s="136"/>
      <c r="I145" s="138"/>
      <c r="J145" s="136"/>
      <c r="K145" s="136"/>
      <c r="L145" s="136"/>
      <c r="M145" s="136"/>
      <c r="N145" s="136"/>
      <c r="O145" s="136"/>
    </row>
    <row r="146" spans="1:15" ht="15" customHeight="1" x14ac:dyDescent="0.25">
      <c r="A146" s="138"/>
      <c r="B146" s="136"/>
      <c r="C146" s="136"/>
      <c r="D146" s="136"/>
      <c r="E146" s="136"/>
      <c r="F146" s="136"/>
      <c r="G146" s="136"/>
      <c r="I146" s="138"/>
      <c r="J146" s="136"/>
      <c r="K146" s="136"/>
      <c r="L146" s="136"/>
      <c r="M146" s="136"/>
      <c r="N146" s="136"/>
      <c r="O146" s="136"/>
    </row>
    <row r="147" spans="1:15" ht="15" customHeight="1" x14ac:dyDescent="0.25">
      <c r="A147" s="138"/>
      <c r="B147" s="136"/>
      <c r="C147" s="136"/>
      <c r="D147" s="136"/>
      <c r="E147" s="136"/>
      <c r="F147" s="136"/>
      <c r="G147" s="136"/>
      <c r="I147" s="138"/>
      <c r="J147" s="136"/>
      <c r="K147" s="136"/>
      <c r="L147" s="136"/>
      <c r="M147" s="136"/>
      <c r="N147" s="136"/>
      <c r="O147" s="136"/>
    </row>
    <row r="148" spans="1:15" ht="15" customHeight="1" x14ac:dyDescent="0.25">
      <c r="A148" s="138"/>
      <c r="B148" s="136"/>
      <c r="C148" s="136"/>
      <c r="D148" s="136"/>
      <c r="E148" s="136"/>
      <c r="F148" s="136"/>
      <c r="G148" s="136"/>
      <c r="I148" s="138"/>
      <c r="J148" s="136"/>
      <c r="K148" s="136"/>
      <c r="L148" s="136"/>
      <c r="M148" s="136"/>
      <c r="N148" s="136"/>
      <c r="O148" s="136"/>
    </row>
    <row r="149" spans="1:15" ht="15" customHeight="1" x14ac:dyDescent="0.25">
      <c r="A149" s="138"/>
      <c r="B149" s="136"/>
      <c r="C149" s="136"/>
      <c r="D149" s="136"/>
      <c r="E149" s="136"/>
      <c r="F149" s="136"/>
      <c r="G149" s="136"/>
      <c r="I149" s="138"/>
      <c r="J149" s="136"/>
      <c r="K149" s="136"/>
      <c r="L149" s="136"/>
      <c r="M149" s="136"/>
      <c r="N149" s="136"/>
      <c r="O149" s="136"/>
    </row>
    <row r="154" spans="1:15" ht="19.5" customHeight="1" x14ac:dyDescent="0.2">
      <c r="A154" s="8" t="s">
        <v>679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</row>
    <row r="155" spans="1:15" ht="24" customHeight="1" x14ac:dyDescent="0.25">
      <c r="A155" s="140" t="s">
        <v>680</v>
      </c>
      <c r="B155" s="140" t="s">
        <v>681</v>
      </c>
      <c r="C155" s="140" t="s">
        <v>682</v>
      </c>
      <c r="D155" s="140" t="s">
        <v>683</v>
      </c>
      <c r="E155" s="140" t="s">
        <v>684</v>
      </c>
      <c r="F155" s="140" t="s">
        <v>685</v>
      </c>
      <c r="G155" s="140" t="s">
        <v>686</v>
      </c>
    </row>
    <row r="156" spans="1:15" ht="25.5" customHeight="1" x14ac:dyDescent="0.25">
      <c r="A156" s="128" t="s">
        <v>687</v>
      </c>
      <c r="B156" s="86" t="s">
        <v>688</v>
      </c>
      <c r="C156" s="98"/>
      <c r="D156" s="130"/>
      <c r="E156" s="141"/>
      <c r="F156" s="97"/>
      <c r="G156" s="142"/>
      <c r="I156" s="103"/>
      <c r="J156" s="103"/>
      <c r="K156" s="103"/>
      <c r="L156" s="104"/>
      <c r="M156" s="104"/>
    </row>
    <row r="157" spans="1:15" ht="25.5" customHeight="1" x14ac:dyDescent="0.25">
      <c r="A157" s="128" t="s">
        <v>689</v>
      </c>
      <c r="B157" s="86" t="s">
        <v>690</v>
      </c>
      <c r="C157" s="100"/>
      <c r="D157" s="143"/>
      <c r="E157" s="141"/>
      <c r="F157" s="97"/>
      <c r="G157" s="142"/>
      <c r="I157" s="103"/>
      <c r="J157" s="103"/>
      <c r="K157" s="103"/>
      <c r="L157" s="104"/>
      <c r="M157" s="104"/>
    </row>
    <row r="158" spans="1:15" ht="25.5" customHeight="1" x14ac:dyDescent="0.25">
      <c r="A158" s="128" t="s">
        <v>548</v>
      </c>
      <c r="B158" s="86" t="s">
        <v>643</v>
      </c>
      <c r="C158" s="100"/>
      <c r="D158" s="143"/>
      <c r="E158" s="141"/>
      <c r="F158" s="97"/>
      <c r="G158" s="142"/>
      <c r="I158" s="103"/>
      <c r="J158" s="103"/>
      <c r="K158" s="103"/>
      <c r="L158" s="104"/>
      <c r="M158" s="104"/>
    </row>
    <row r="159" spans="1:15" ht="24" customHeight="1" x14ac:dyDescent="0.2">
      <c r="A159" s="3" t="s">
        <v>691</v>
      </c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</row>
    <row r="162" spans="1:14" ht="19.5" customHeight="1" x14ac:dyDescent="0.25">
      <c r="A162" s="177" t="s">
        <v>692</v>
      </c>
      <c r="B162" s="177"/>
      <c r="C162" s="177"/>
      <c r="D162" s="177"/>
      <c r="E162" s="177"/>
      <c r="F162" s="177"/>
      <c r="G162" s="177"/>
      <c r="I162" s="177" t="s">
        <v>693</v>
      </c>
      <c r="J162" s="177"/>
      <c r="K162" s="177"/>
      <c r="L162" s="177"/>
      <c r="M162" s="177"/>
      <c r="N162" s="177"/>
    </row>
    <row r="163" spans="1:14" ht="15" customHeight="1" x14ac:dyDescent="0.25">
      <c r="A163" s="54" t="s">
        <v>694</v>
      </c>
      <c r="B163" s="144" t="s">
        <v>695</v>
      </c>
      <c r="C163" s="144" t="s">
        <v>696</v>
      </c>
      <c r="I163" s="54" t="s">
        <v>697</v>
      </c>
      <c r="J163" s="120">
        <v>0</v>
      </c>
      <c r="K163" s="120">
        <v>0.15</v>
      </c>
      <c r="L163" s="120">
        <v>0.3</v>
      </c>
      <c r="M163" s="120">
        <v>0.45</v>
      </c>
      <c r="N163" s="120">
        <v>0.6</v>
      </c>
    </row>
    <row r="164" spans="1:14" ht="15" customHeight="1" x14ac:dyDescent="0.25">
      <c r="A164" s="120">
        <v>0.25</v>
      </c>
      <c r="B164" s="90"/>
      <c r="C164" s="90"/>
      <c r="I164" s="120">
        <v>0</v>
      </c>
      <c r="J164" s="105"/>
      <c r="K164" s="105"/>
      <c r="L164" s="105"/>
      <c r="M164" s="105"/>
      <c r="N164" s="105"/>
    </row>
    <row r="165" spans="1:14" ht="15" customHeight="1" x14ac:dyDescent="0.25">
      <c r="A165" s="120">
        <v>0.3</v>
      </c>
      <c r="B165" s="90"/>
      <c r="C165" s="90"/>
      <c r="I165" s="120">
        <v>0.25</v>
      </c>
      <c r="J165" s="105"/>
      <c r="K165" s="105"/>
      <c r="L165" s="105"/>
      <c r="M165" s="105"/>
      <c r="N165" s="105"/>
    </row>
    <row r="166" spans="1:14" ht="15" customHeight="1" x14ac:dyDescent="0.25">
      <c r="A166" s="120">
        <v>0.35</v>
      </c>
      <c r="B166" s="90"/>
      <c r="C166" s="90"/>
      <c r="I166" s="120">
        <v>0.5</v>
      </c>
      <c r="J166" s="105"/>
      <c r="K166" s="105"/>
      <c r="L166" s="105"/>
      <c r="M166" s="105"/>
      <c r="N166" s="105"/>
    </row>
    <row r="167" spans="1:14" ht="15" customHeight="1" x14ac:dyDescent="0.25">
      <c r="A167" s="120">
        <v>0.4</v>
      </c>
      <c r="B167" s="90"/>
      <c r="C167" s="90"/>
      <c r="I167" s="120">
        <v>0.75</v>
      </c>
      <c r="J167" s="105"/>
      <c r="K167" s="105"/>
      <c r="L167" s="105"/>
      <c r="M167" s="105"/>
      <c r="N167" s="105"/>
    </row>
    <row r="168" spans="1:14" ht="15" customHeight="1" x14ac:dyDescent="0.25">
      <c r="I168" s="120">
        <v>1</v>
      </c>
      <c r="J168" s="105"/>
      <c r="K168" s="105"/>
      <c r="L168" s="105"/>
      <c r="M168" s="105"/>
      <c r="N168" s="105"/>
    </row>
    <row r="170" spans="1:14" ht="19.5" customHeight="1" x14ac:dyDescent="0.25">
      <c r="A170" s="177" t="s">
        <v>698</v>
      </c>
      <c r="B170" s="177"/>
      <c r="C170" s="177"/>
      <c r="D170" s="177"/>
      <c r="E170" s="177"/>
      <c r="F170" s="177"/>
      <c r="G170" s="177"/>
    </row>
    <row r="171" spans="1:14" ht="15" customHeight="1" x14ac:dyDescent="0.25">
      <c r="A171" s="54" t="s">
        <v>699</v>
      </c>
      <c r="B171" s="145">
        <v>3</v>
      </c>
      <c r="C171" s="145">
        <v>6</v>
      </c>
      <c r="D171" s="145">
        <v>9</v>
      </c>
      <c r="E171" s="145">
        <v>12</v>
      </c>
    </row>
    <row r="172" spans="1:14" ht="15" customHeight="1" x14ac:dyDescent="0.25">
      <c r="A172" s="146">
        <v>0.4</v>
      </c>
      <c r="B172" s="105"/>
      <c r="C172" s="105"/>
      <c r="D172" s="105"/>
      <c r="E172" s="105"/>
    </row>
    <row r="173" spans="1:14" ht="15" customHeight="1" x14ac:dyDescent="0.25">
      <c r="A173" s="146">
        <v>0.5</v>
      </c>
      <c r="B173" s="105"/>
      <c r="C173" s="105"/>
      <c r="D173" s="105"/>
      <c r="E173" s="105"/>
    </row>
    <row r="174" spans="1:14" ht="15" customHeight="1" x14ac:dyDescent="0.25">
      <c r="A174" s="146">
        <v>0.6</v>
      </c>
      <c r="B174" s="105"/>
      <c r="C174" s="105"/>
      <c r="D174" s="105"/>
      <c r="E174" s="105"/>
    </row>
    <row r="175" spans="1:14" ht="15" customHeight="1" x14ac:dyDescent="0.25">
      <c r="A175" s="146">
        <v>0.7</v>
      </c>
      <c r="B175" s="105"/>
      <c r="C175" s="105"/>
      <c r="D175" s="105"/>
      <c r="E175" s="105"/>
    </row>
    <row r="176" spans="1:14" ht="15" customHeight="1" x14ac:dyDescent="0.25">
      <c r="A176" s="146">
        <v>0.8</v>
      </c>
      <c r="B176" s="105"/>
      <c r="C176" s="105"/>
      <c r="D176" s="105"/>
      <c r="E176" s="105"/>
    </row>
  </sheetData>
  <sheetProtection sheet="1" formatColumns="0" formatRows="0"/>
  <mergeCells count="31">
    <mergeCell ref="A159:N159"/>
    <mergeCell ref="A162:G162"/>
    <mergeCell ref="I162:N162"/>
    <mergeCell ref="A170:G170"/>
    <mergeCell ref="A60:E60"/>
    <mergeCell ref="A61:E61"/>
    <mergeCell ref="A62:N62"/>
    <mergeCell ref="A75:N75"/>
    <mergeCell ref="A154:N154"/>
    <mergeCell ref="A55:E55"/>
    <mergeCell ref="A56:E56"/>
    <mergeCell ref="A57:E57"/>
    <mergeCell ref="A58:E58"/>
    <mergeCell ref="A59:E59"/>
    <mergeCell ref="I49:N49"/>
    <mergeCell ref="A51:N51"/>
    <mergeCell ref="A52:E52"/>
    <mergeCell ref="A53:E53"/>
    <mergeCell ref="A54:E54"/>
    <mergeCell ref="A23:G23"/>
    <mergeCell ref="I23:N23"/>
    <mergeCell ref="A32:G32"/>
    <mergeCell ref="I32:N32"/>
    <mergeCell ref="A41:G41"/>
    <mergeCell ref="I41:N41"/>
    <mergeCell ref="A2:N2"/>
    <mergeCell ref="A3:N3"/>
    <mergeCell ref="A5:G5"/>
    <mergeCell ref="I5:N5"/>
    <mergeCell ref="A14:G14"/>
    <mergeCell ref="I14:N14"/>
  </mergeCells>
  <conditionalFormatting sqref="B7:G11">
    <cfRule type="cellIs" dxfId="25" priority="2" operator="equal">
      <formula>"G1"</formula>
    </cfRule>
    <cfRule type="cellIs" dxfId="24" priority="3" operator="equal">
      <formula>"G2"</formula>
    </cfRule>
    <cfRule type="cellIs" dxfId="23" priority="4" operator="equal">
      <formula>"G3"</formula>
    </cfRule>
  </conditionalFormatting>
  <conditionalFormatting sqref="B16:G20">
    <cfRule type="cellIs" dxfId="22" priority="8" operator="equal">
      <formula>"G1"</formula>
    </cfRule>
    <cfRule type="cellIs" dxfId="21" priority="9" operator="equal">
      <formula>"G2"</formula>
    </cfRule>
    <cfRule type="cellIs" dxfId="20" priority="10" operator="equal">
      <formula>"G3"</formula>
    </cfRule>
  </conditionalFormatting>
  <conditionalFormatting sqref="B25:G29">
    <cfRule type="cellIs" dxfId="19" priority="14" operator="equal">
      <formula>"G1"</formula>
    </cfRule>
    <cfRule type="cellIs" dxfId="18" priority="15" operator="equal">
      <formula>"G2"</formula>
    </cfRule>
    <cfRule type="cellIs" dxfId="17" priority="16" operator="equal">
      <formula>"G3"</formula>
    </cfRule>
  </conditionalFormatting>
  <conditionalFormatting sqref="B34:G38">
    <cfRule type="cellIs" dxfId="16" priority="19" operator="equal">
      <formula>0</formula>
    </cfRule>
    <cfRule type="cellIs" dxfId="15" priority="20" operator="equal">
      <formula>3</formula>
    </cfRule>
  </conditionalFormatting>
  <conditionalFormatting sqref="H64:H73">
    <cfRule type="cellIs" dxfId="14" priority="24" operator="equal">
      <formula>"SI"</formula>
    </cfRule>
    <cfRule type="cellIs" dxfId="13" priority="25" operator="equal">
      <formula>"NO"</formula>
    </cfRule>
  </conditionalFormatting>
  <conditionalFormatting sqref="J7:O11">
    <cfRule type="cellIs" dxfId="12" priority="5" operator="equal">
      <formula>"G1"</formula>
    </cfRule>
    <cfRule type="cellIs" dxfId="11" priority="6" operator="equal">
      <formula>"G2"</formula>
    </cfRule>
    <cfRule type="cellIs" dxfId="10" priority="7" operator="equal">
      <formula>"G3"</formula>
    </cfRule>
  </conditionalFormatting>
  <conditionalFormatting sqref="J16:O20">
    <cfRule type="cellIs" dxfId="9" priority="11" operator="equal">
      <formula>"G1"</formula>
    </cfRule>
    <cfRule type="cellIs" dxfId="8" priority="12" operator="equal">
      <formula>"G2"</formula>
    </cfRule>
    <cfRule type="cellIs" dxfId="7" priority="13" operator="equal">
      <formula>"G3"</formula>
    </cfRule>
  </conditionalFormatting>
  <conditionalFormatting sqref="J25:O29">
    <cfRule type="cellIs" dxfId="6" priority="17" operator="equal">
      <formula>0</formula>
    </cfRule>
    <cfRule type="cellIs" dxfId="5" priority="18" operator="equal">
      <formula>3</formula>
    </cfRule>
  </conditionalFormatting>
  <conditionalFormatting sqref="J34:O38">
    <cfRule type="cellIs" dxfId="4" priority="21" operator="equal">
      <formula>"G1"</formula>
    </cfRule>
    <cfRule type="cellIs" dxfId="3" priority="22" operator="equal">
      <formula>"G2"</formula>
    </cfRule>
    <cfRule type="cellIs" dxfId="2" priority="23" operator="equal">
      <formula>"G3"</formula>
    </cfRule>
  </conditionalFormatting>
  <pageMargins left="0.7" right="0.7" top="0.75" bottom="0.75" header="0.511811023622047" footer="0.511811023622047"/>
  <pageSetup paperSize="9" orientation="portrait" horizontalDpi="300" verticalDpi="300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73"/>
  <sheetViews>
    <sheetView zoomScaleNormal="100" workbookViewId="0"/>
  </sheetViews>
  <sheetFormatPr baseColWidth="10" defaultColWidth="8.7109375" defaultRowHeight="15" x14ac:dyDescent="0.25"/>
  <cols>
    <col min="1" max="1" width="40" style="32" customWidth="1"/>
    <col min="2" max="4" width="15" style="32" customWidth="1"/>
    <col min="5" max="5" width="2" style="32" customWidth="1"/>
    <col min="6" max="12" width="13" style="32" customWidth="1"/>
  </cols>
  <sheetData>
    <row r="1" spans="1:12" ht="12.75" customHeight="1" x14ac:dyDescent="0.25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  <c r="I1" s="33"/>
      <c r="J1" s="33"/>
    </row>
    <row r="2" spans="1:12" ht="19.5" customHeight="1" x14ac:dyDescent="0.2">
      <c r="A2" s="179" t="s">
        <v>700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</row>
    <row r="3" spans="1:12" ht="96" customHeight="1" x14ac:dyDescent="0.2">
      <c r="A3" s="180" t="s">
        <v>701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</row>
    <row r="5" spans="1:12" ht="19.5" customHeight="1" x14ac:dyDescent="0.25">
      <c r="A5" s="8" t="s">
        <v>702</v>
      </c>
      <c r="B5" s="8"/>
      <c r="C5" s="8"/>
      <c r="D5" s="8"/>
    </row>
    <row r="6" spans="1:12" ht="25.5" customHeight="1" x14ac:dyDescent="0.25">
      <c r="A6" s="181" t="s">
        <v>703</v>
      </c>
      <c r="B6" s="181"/>
      <c r="C6" s="181"/>
      <c r="D6" s="181"/>
    </row>
    <row r="8" spans="1:12" ht="19.5" customHeight="1" x14ac:dyDescent="0.25">
      <c r="A8" s="8" t="s">
        <v>704</v>
      </c>
      <c r="B8" s="8"/>
      <c r="C8" s="8"/>
      <c r="D8" s="8"/>
    </row>
    <row r="9" spans="1:12" ht="19.5" customHeight="1" x14ac:dyDescent="0.25">
      <c r="A9" s="92" t="s">
        <v>705</v>
      </c>
      <c r="B9" s="170"/>
      <c r="C9" s="170"/>
      <c r="D9" s="170"/>
    </row>
    <row r="10" spans="1:12" ht="19.5" customHeight="1" x14ac:dyDescent="0.25">
      <c r="A10" s="92" t="s">
        <v>551</v>
      </c>
      <c r="B10" s="171"/>
      <c r="C10" s="171"/>
      <c r="D10" s="171"/>
    </row>
    <row r="11" spans="1:12" ht="19.5" customHeight="1" x14ac:dyDescent="0.25">
      <c r="A11" s="92" t="s">
        <v>550</v>
      </c>
      <c r="B11" s="171"/>
      <c r="C11" s="171"/>
      <c r="D11" s="171"/>
    </row>
    <row r="12" spans="1:12" ht="19.5" customHeight="1" x14ac:dyDescent="0.25">
      <c r="A12" s="92" t="s">
        <v>553</v>
      </c>
      <c r="B12" s="170"/>
      <c r="C12" s="170"/>
      <c r="D12" s="170"/>
    </row>
    <row r="13" spans="1:12" ht="19.5" customHeight="1" x14ac:dyDescent="0.25">
      <c r="A13" s="92" t="s">
        <v>706</v>
      </c>
      <c r="B13" s="182"/>
      <c r="C13" s="182"/>
      <c r="D13" s="182"/>
    </row>
    <row r="14" spans="1:12" ht="19.5" customHeight="1" x14ac:dyDescent="0.25">
      <c r="A14" s="92" t="s">
        <v>707</v>
      </c>
      <c r="B14" s="182"/>
      <c r="C14" s="182"/>
      <c r="D14" s="182"/>
    </row>
    <row r="16" spans="1:12" ht="19.5" customHeight="1" x14ac:dyDescent="0.25">
      <c r="A16" s="8" t="s">
        <v>708</v>
      </c>
      <c r="B16" s="8"/>
      <c r="C16" s="8"/>
      <c r="D16" s="8"/>
    </row>
    <row r="17" spans="1:4" ht="15" customHeight="1" x14ac:dyDescent="0.25">
      <c r="A17" s="95" t="s">
        <v>567</v>
      </c>
      <c r="B17" s="25" t="s">
        <v>200</v>
      </c>
      <c r="C17" s="25" t="s">
        <v>201</v>
      </c>
      <c r="D17" s="25" t="s">
        <v>202</v>
      </c>
    </row>
    <row r="18" spans="1:4" ht="15" customHeight="1" x14ac:dyDescent="0.25">
      <c r="A18" s="101" t="s">
        <v>709</v>
      </c>
      <c r="B18" s="147"/>
      <c r="C18" s="147"/>
      <c r="D18" s="147"/>
    </row>
    <row r="19" spans="1:4" ht="15" customHeight="1" x14ac:dyDescent="0.25">
      <c r="A19" s="101" t="s">
        <v>710</v>
      </c>
      <c r="B19" s="147"/>
      <c r="C19" s="147"/>
      <c r="D19" s="147"/>
    </row>
    <row r="20" spans="1:4" ht="15" customHeight="1" x14ac:dyDescent="0.25">
      <c r="A20" s="101" t="s">
        <v>711</v>
      </c>
      <c r="B20" s="147"/>
      <c r="C20" s="147"/>
      <c r="D20" s="147"/>
    </row>
    <row r="21" spans="1:4" ht="15" customHeight="1" x14ac:dyDescent="0.25">
      <c r="A21" s="101" t="s">
        <v>712</v>
      </c>
      <c r="B21" s="147"/>
      <c r="C21" s="147"/>
      <c r="D21" s="147"/>
    </row>
    <row r="22" spans="1:4" ht="15" customHeight="1" x14ac:dyDescent="0.25">
      <c r="A22" s="148" t="s">
        <v>713</v>
      </c>
      <c r="B22" s="149"/>
      <c r="C22" s="149"/>
      <c r="D22" s="149"/>
    </row>
    <row r="23" spans="1:4" ht="15" customHeight="1" x14ac:dyDescent="0.25">
      <c r="A23" s="148" t="s">
        <v>714</v>
      </c>
      <c r="B23" s="96"/>
      <c r="C23" s="96"/>
      <c r="D23" s="96"/>
    </row>
    <row r="24" spans="1:4" ht="15" customHeight="1" x14ac:dyDescent="0.25">
      <c r="A24" s="148" t="s">
        <v>715</v>
      </c>
      <c r="B24" s="100"/>
      <c r="C24" s="100"/>
      <c r="D24" s="100"/>
    </row>
    <row r="25" spans="1:4" ht="15" customHeight="1" x14ac:dyDescent="0.25">
      <c r="A25" s="148" t="s">
        <v>716</v>
      </c>
      <c r="B25" s="100"/>
      <c r="C25" s="100"/>
      <c r="D25" s="100"/>
    </row>
    <row r="27" spans="1:4" ht="19.5" customHeight="1" x14ac:dyDescent="0.25">
      <c r="A27" s="8" t="s">
        <v>717</v>
      </c>
      <c r="B27" s="8"/>
      <c r="C27" s="8"/>
      <c r="D27" s="8"/>
    </row>
    <row r="28" spans="1:4" ht="15" customHeight="1" x14ac:dyDescent="0.25">
      <c r="A28" s="95" t="s">
        <v>718</v>
      </c>
      <c r="B28" s="25" t="s">
        <v>719</v>
      </c>
      <c r="C28" s="25" t="s">
        <v>720</v>
      </c>
      <c r="D28" s="25" t="s">
        <v>721</v>
      </c>
    </row>
    <row r="29" spans="1:4" ht="15" customHeight="1" x14ac:dyDescent="0.25">
      <c r="A29" s="148" t="s">
        <v>722</v>
      </c>
      <c r="B29" s="150"/>
      <c r="C29" s="150"/>
      <c r="D29" s="150"/>
    </row>
    <row r="30" spans="1:4" ht="15" customHeight="1" x14ac:dyDescent="0.25">
      <c r="A30" s="148" t="s">
        <v>723</v>
      </c>
      <c r="B30" s="150"/>
      <c r="C30" s="150"/>
      <c r="D30" s="150"/>
    </row>
    <row r="31" spans="1:4" ht="15" customHeight="1" x14ac:dyDescent="0.25">
      <c r="A31" s="148" t="s">
        <v>724</v>
      </c>
      <c r="B31" s="150"/>
      <c r="C31" s="150"/>
      <c r="D31" s="150"/>
    </row>
    <row r="32" spans="1:4" ht="15" customHeight="1" x14ac:dyDescent="0.25">
      <c r="A32" s="148" t="s">
        <v>574</v>
      </c>
      <c r="B32" s="151"/>
      <c r="C32" s="151"/>
      <c r="D32" s="151"/>
    </row>
    <row r="33" spans="1:13" ht="15" customHeight="1" x14ac:dyDescent="0.25">
      <c r="A33" s="148" t="s">
        <v>575</v>
      </c>
      <c r="B33" s="151"/>
      <c r="C33" s="151"/>
      <c r="D33" s="151"/>
    </row>
    <row r="36" spans="1:13" ht="19.5" customHeight="1" x14ac:dyDescent="0.25">
      <c r="A36" s="8" t="s">
        <v>725</v>
      </c>
      <c r="B36" s="8"/>
      <c r="C36" s="8"/>
      <c r="D36" s="8"/>
    </row>
    <row r="37" spans="1:13" ht="15" customHeight="1" x14ac:dyDescent="0.25">
      <c r="A37" s="183" t="s">
        <v>726</v>
      </c>
      <c r="B37" s="183"/>
      <c r="C37" s="183" t="s">
        <v>727</v>
      </c>
      <c r="D37" s="183"/>
    </row>
    <row r="38" spans="1:13" ht="21.75" customHeight="1" x14ac:dyDescent="0.25">
      <c r="A38" s="184"/>
      <c r="B38" s="184"/>
      <c r="C38" s="184"/>
      <c r="D38" s="184"/>
    </row>
    <row r="39" spans="1:13" ht="21.75" customHeight="1" x14ac:dyDescent="0.25">
      <c r="A39" s="184"/>
      <c r="B39" s="184"/>
      <c r="C39" s="184"/>
      <c r="D39" s="184"/>
    </row>
    <row r="40" spans="1:13" ht="21.75" customHeight="1" x14ac:dyDescent="0.25">
      <c r="A40" s="184"/>
      <c r="B40" s="184"/>
      <c r="C40" s="184"/>
      <c r="D40" s="184"/>
    </row>
    <row r="41" spans="1:13" ht="21.75" customHeight="1" x14ac:dyDescent="0.25">
      <c r="A41" s="184"/>
      <c r="B41" s="184"/>
      <c r="C41" s="184"/>
      <c r="D41" s="184"/>
    </row>
    <row r="42" spans="1:13" ht="21.75" customHeight="1" x14ac:dyDescent="0.25">
      <c r="A42" s="184"/>
      <c r="B42" s="184"/>
      <c r="C42" s="184"/>
      <c r="D42" s="184"/>
    </row>
    <row r="43" spans="1:13" ht="18.75" customHeight="1" x14ac:dyDescent="0.25">
      <c r="A43" s="185" t="s">
        <v>728</v>
      </c>
      <c r="B43" s="185"/>
      <c r="C43" s="152"/>
    </row>
    <row r="44" spans="1:13" ht="24" customHeight="1" x14ac:dyDescent="0.25">
      <c r="A44" s="185" t="s">
        <v>729</v>
      </c>
      <c r="B44" s="185"/>
      <c r="C44" s="186"/>
      <c r="D44" s="186"/>
    </row>
    <row r="47" spans="1:13" ht="19.5" customHeight="1" x14ac:dyDescent="0.25">
      <c r="A47" s="8" t="s">
        <v>730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32"/>
    </row>
    <row r="48" spans="1:13" ht="15" customHeight="1" x14ac:dyDescent="0.25">
      <c r="A48" s="65" t="s">
        <v>731</v>
      </c>
    </row>
    <row r="49" spans="1:11" ht="15" customHeight="1" x14ac:dyDescent="0.25">
      <c r="A49" s="153" t="s">
        <v>732</v>
      </c>
      <c r="B49" s="154" t="s">
        <v>200</v>
      </c>
      <c r="C49" s="154" t="s">
        <v>201</v>
      </c>
      <c r="D49" s="154" t="s">
        <v>202</v>
      </c>
    </row>
    <row r="50" spans="1:11" ht="15" customHeight="1" x14ac:dyDescent="0.25">
      <c r="A50" s="153" t="s">
        <v>709</v>
      </c>
      <c r="B50" s="155"/>
      <c r="C50" s="155"/>
      <c r="D50" s="155"/>
    </row>
    <row r="51" spans="1:11" ht="15" customHeight="1" x14ac:dyDescent="0.25">
      <c r="A51" s="153" t="s">
        <v>733</v>
      </c>
      <c r="B51" s="155"/>
      <c r="C51" s="155"/>
      <c r="D51" s="155"/>
    </row>
    <row r="52" spans="1:11" ht="15" customHeight="1" x14ac:dyDescent="0.25">
      <c r="A52" s="153" t="s">
        <v>734</v>
      </c>
      <c r="B52" s="155"/>
      <c r="C52" s="155"/>
      <c r="D52" s="155"/>
    </row>
    <row r="53" spans="1:11" ht="15" customHeight="1" x14ac:dyDescent="0.25">
      <c r="A53" s="153" t="s">
        <v>735</v>
      </c>
      <c r="B53" s="155"/>
      <c r="C53" s="155"/>
      <c r="D53" s="155"/>
    </row>
    <row r="54" spans="1:11" ht="15" customHeight="1" x14ac:dyDescent="0.25">
      <c r="A54" s="65" t="s">
        <v>736</v>
      </c>
    </row>
    <row r="55" spans="1:11" ht="15" customHeight="1" x14ac:dyDescent="0.25">
      <c r="A55" s="153" t="s">
        <v>680</v>
      </c>
      <c r="B55" s="154" t="s">
        <v>200</v>
      </c>
      <c r="C55" s="154" t="s">
        <v>201</v>
      </c>
      <c r="D55" s="154" t="s">
        <v>202</v>
      </c>
    </row>
    <row r="56" spans="1:11" ht="15" customHeight="1" x14ac:dyDescent="0.25">
      <c r="A56" s="153" t="s">
        <v>664</v>
      </c>
      <c r="B56" s="155"/>
      <c r="C56" s="155"/>
      <c r="D56" s="155"/>
    </row>
    <row r="57" spans="1:11" ht="15" customHeight="1" x14ac:dyDescent="0.25">
      <c r="A57" s="153" t="s">
        <v>737</v>
      </c>
      <c r="B57" s="155"/>
      <c r="C57" s="155"/>
      <c r="D57" s="155"/>
    </row>
    <row r="58" spans="1:11" ht="15" customHeight="1" x14ac:dyDescent="0.25">
      <c r="A58" s="153" t="s">
        <v>548</v>
      </c>
      <c r="B58" s="155"/>
      <c r="C58" s="155"/>
      <c r="D58" s="155"/>
    </row>
    <row r="59" spans="1:11" ht="15" customHeight="1" x14ac:dyDescent="0.25">
      <c r="A59" s="65" t="s">
        <v>738</v>
      </c>
    </row>
    <row r="60" spans="1:11" ht="15" customHeight="1" x14ac:dyDescent="0.25">
      <c r="A60" s="153" t="s">
        <v>739</v>
      </c>
      <c r="B60" s="154" t="s">
        <v>369</v>
      </c>
      <c r="C60" s="154" t="s">
        <v>370</v>
      </c>
      <c r="D60" s="154" t="s">
        <v>371</v>
      </c>
      <c r="E60" s="154" t="s">
        <v>372</v>
      </c>
      <c r="F60" s="154" t="s">
        <v>373</v>
      </c>
      <c r="G60" s="154" t="s">
        <v>374</v>
      </c>
      <c r="H60" s="154" t="s">
        <v>375</v>
      </c>
      <c r="I60" s="154" t="s">
        <v>376</v>
      </c>
      <c r="J60" s="154" t="s">
        <v>377</v>
      </c>
      <c r="K60" s="154" t="s">
        <v>378</v>
      </c>
    </row>
    <row r="61" spans="1:11" ht="15" customHeight="1" x14ac:dyDescent="0.25">
      <c r="A61" s="153" t="s">
        <v>200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</row>
    <row r="62" spans="1:11" ht="15" customHeight="1" x14ac:dyDescent="0.25">
      <c r="A62" s="153" t="s">
        <v>201</v>
      </c>
      <c r="B62" s="155"/>
      <c r="C62" s="155"/>
      <c r="D62" s="155"/>
      <c r="E62" s="155"/>
      <c r="F62" s="155"/>
      <c r="G62" s="155"/>
      <c r="H62" s="155"/>
      <c r="I62" s="155"/>
      <c r="J62" s="155"/>
      <c r="K62" s="155"/>
    </row>
    <row r="63" spans="1:11" ht="15" customHeight="1" x14ac:dyDescent="0.25">
      <c r="A63" s="153" t="s">
        <v>202</v>
      </c>
      <c r="B63" s="155"/>
      <c r="C63" s="155"/>
      <c r="D63" s="155"/>
      <c r="E63" s="155"/>
      <c r="F63" s="155"/>
      <c r="G63" s="155"/>
      <c r="H63" s="155"/>
      <c r="I63" s="155"/>
      <c r="J63" s="155"/>
      <c r="K63" s="155"/>
    </row>
    <row r="64" spans="1:11" ht="15" customHeight="1" x14ac:dyDescent="0.25">
      <c r="A64" s="65" t="s">
        <v>740</v>
      </c>
    </row>
    <row r="65" spans="1:4" ht="15" customHeight="1" x14ac:dyDescent="0.25">
      <c r="A65" s="153" t="s">
        <v>741</v>
      </c>
      <c r="B65" s="154" t="s">
        <v>742</v>
      </c>
      <c r="C65" s="154" t="s">
        <v>653</v>
      </c>
      <c r="D65" s="154" t="s">
        <v>595</v>
      </c>
    </row>
    <row r="66" spans="1:4" ht="15" customHeight="1" x14ac:dyDescent="0.25">
      <c r="A66" s="153" t="s">
        <v>200</v>
      </c>
      <c r="B66" s="156"/>
      <c r="C66" s="156"/>
      <c r="D66" s="156"/>
    </row>
    <row r="67" spans="1:4" ht="15" customHeight="1" x14ac:dyDescent="0.25">
      <c r="A67" s="153" t="s">
        <v>201</v>
      </c>
      <c r="B67" s="156"/>
      <c r="C67" s="156"/>
      <c r="D67" s="156"/>
    </row>
    <row r="68" spans="1:4" ht="15" customHeight="1" x14ac:dyDescent="0.25">
      <c r="A68" s="153" t="s">
        <v>202</v>
      </c>
      <c r="B68" s="156"/>
      <c r="C68" s="156"/>
      <c r="D68" s="156"/>
    </row>
    <row r="69" spans="1:4" ht="15" customHeight="1" x14ac:dyDescent="0.25">
      <c r="A69" s="65" t="s">
        <v>743</v>
      </c>
    </row>
    <row r="70" spans="1:4" ht="15" customHeight="1" x14ac:dyDescent="0.25">
      <c r="A70" s="153" t="s">
        <v>591</v>
      </c>
      <c r="B70" s="154" t="s">
        <v>593</v>
      </c>
      <c r="C70" s="154" t="s">
        <v>595</v>
      </c>
    </row>
    <row r="71" spans="1:4" ht="15" customHeight="1" x14ac:dyDescent="0.25">
      <c r="A71" s="153" t="s">
        <v>719</v>
      </c>
      <c r="B71" s="156"/>
      <c r="C71" s="156"/>
    </row>
    <row r="72" spans="1:4" ht="15" customHeight="1" x14ac:dyDescent="0.25">
      <c r="A72" s="153" t="s">
        <v>720</v>
      </c>
      <c r="B72" s="156"/>
      <c r="C72" s="156"/>
    </row>
    <row r="73" spans="1:4" ht="15" customHeight="1" x14ac:dyDescent="0.25">
      <c r="A73" s="153" t="s">
        <v>721</v>
      </c>
      <c r="B73" s="156"/>
      <c r="C73" s="156"/>
    </row>
  </sheetData>
  <sheetProtection sheet="1" formatColumns="0" formatRows="0"/>
  <mergeCells count="30">
    <mergeCell ref="A44:B44"/>
    <mergeCell ref="C44:D44"/>
    <mergeCell ref="A47:L47"/>
    <mergeCell ref="A41:B41"/>
    <mergeCell ref="C41:D41"/>
    <mergeCell ref="A42:B42"/>
    <mergeCell ref="C42:D42"/>
    <mergeCell ref="A43:B43"/>
    <mergeCell ref="A38:B38"/>
    <mergeCell ref="C38:D38"/>
    <mergeCell ref="A39:B39"/>
    <mergeCell ref="C39:D39"/>
    <mergeCell ref="A40:B40"/>
    <mergeCell ref="C40:D40"/>
    <mergeCell ref="B14:D14"/>
    <mergeCell ref="A16:D16"/>
    <mergeCell ref="A27:D27"/>
    <mergeCell ref="A36:D36"/>
    <mergeCell ref="A37:B37"/>
    <mergeCell ref="C37:D37"/>
    <mergeCell ref="B9:D9"/>
    <mergeCell ref="B10:D10"/>
    <mergeCell ref="B11:D11"/>
    <mergeCell ref="B12:D12"/>
    <mergeCell ref="B13:D13"/>
    <mergeCell ref="A2:L2"/>
    <mergeCell ref="A3:L3"/>
    <mergeCell ref="A5:D5"/>
    <mergeCell ref="A6:D6"/>
    <mergeCell ref="A8:D8"/>
  </mergeCells>
  <conditionalFormatting sqref="B23:D23">
    <cfRule type="cellIs" dxfId="1" priority="2" operator="equal">
      <formula>"FACTIBLE"</formula>
    </cfRule>
    <cfRule type="cellIs" dxfId="0" priority="3" operator="equal">
      <formula>"NO FACTIBLE"</formula>
    </cfRule>
  </conditionalFormatting>
  <pageMargins left="0.7" right="0.7" top="0.75" bottom="0.75" header="0.511811023622047" footer="0.511811023622047"/>
  <pageSetup paperSize="9" orientation="portrait" horizontalDpi="300" verticalDpi="300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52"/>
  <sheetViews>
    <sheetView zoomScaleNormal="100" workbookViewId="0"/>
  </sheetViews>
  <sheetFormatPr baseColWidth="10" defaultColWidth="8.7109375" defaultRowHeight="12.75" x14ac:dyDescent="0.2"/>
  <cols>
    <col min="1" max="1" width="34" customWidth="1"/>
    <col min="2" max="2" width="30" customWidth="1"/>
    <col min="3" max="3" width="90" customWidth="1"/>
    <col min="4" max="4" width="34" customWidth="1"/>
    <col min="5" max="5" width="30" customWidth="1"/>
    <col min="6" max="11" width="13" customWidth="1"/>
    <col min="12" max="12" width="14" customWidth="1"/>
  </cols>
  <sheetData>
    <row r="1" spans="1:8" ht="15" customHeight="1" x14ac:dyDescent="0.2">
      <c r="A1" s="14" t="str">
        <f>HYPERLINK("#'1. Caso y ruta'!A1","⌂ Caso")</f>
        <v>⌂ Caso</v>
      </c>
      <c r="B1" s="14" t="str">
        <f>HYPERLINK("#'2. Inputs'!A1","Inputs")</f>
        <v>Inputs</v>
      </c>
      <c r="C1" s="14" t="str">
        <f>HYPERLINK("#'3. Modelo financiero'!A1","Modelo")</f>
        <v>Modelo</v>
      </c>
      <c r="D1" s="14" t="str">
        <f>HYPERLINK("#'4. Impactos e internalización'!A1","Social+Int")</f>
        <v>Social+Int</v>
      </c>
      <c r="E1" s="14" t="str">
        <f>HYPERLINK("#'5. Decisión e incremental'!A1","Decisión")</f>
        <v>Decisión</v>
      </c>
      <c r="F1" s="14" t="str">
        <f>HYPERLINK("#'6. Sensibilidades'!A1","Sensib.")</f>
        <v>Sensib.</v>
      </c>
      <c r="G1" s="14" t="str">
        <f>HYPERLINK("#'7. Dashboard'!A1","Dashboard")</f>
        <v>Dashboard</v>
      </c>
      <c r="H1" s="14" t="str">
        <f>HYPERLINK("#'8. Actividades y evaluación'!A1","Activ.")</f>
        <v>Activ.</v>
      </c>
    </row>
    <row r="2" spans="1:8" ht="19.5" customHeight="1" x14ac:dyDescent="0.2">
      <c r="A2" s="4" t="s">
        <v>744</v>
      </c>
      <c r="B2" s="4"/>
      <c r="C2" s="4"/>
    </row>
    <row r="4" spans="1:8" ht="15" customHeight="1" x14ac:dyDescent="0.2">
      <c r="A4" s="25" t="s">
        <v>745</v>
      </c>
      <c r="B4" s="25" t="s">
        <v>746</v>
      </c>
      <c r="C4" s="25" t="s">
        <v>747</v>
      </c>
    </row>
    <row r="5" spans="1:8" ht="33.75" customHeight="1" x14ac:dyDescent="0.2">
      <c r="A5" s="128" t="s">
        <v>748</v>
      </c>
      <c r="B5" s="101" t="s">
        <v>749</v>
      </c>
      <c r="C5" s="27" t="s">
        <v>750</v>
      </c>
    </row>
    <row r="6" spans="1:8" ht="33.75" customHeight="1" x14ac:dyDescent="0.2">
      <c r="A6" s="128" t="s">
        <v>751</v>
      </c>
      <c r="B6" s="101" t="s">
        <v>752</v>
      </c>
      <c r="C6" s="27" t="s">
        <v>753</v>
      </c>
    </row>
    <row r="7" spans="1:8" ht="33.75" customHeight="1" x14ac:dyDescent="0.2">
      <c r="A7" s="128" t="s">
        <v>754</v>
      </c>
      <c r="B7" s="101" t="s">
        <v>755</v>
      </c>
      <c r="C7" s="27" t="s">
        <v>756</v>
      </c>
    </row>
    <row r="8" spans="1:8" ht="33.75" customHeight="1" x14ac:dyDescent="0.2">
      <c r="A8" s="128" t="s">
        <v>757</v>
      </c>
      <c r="B8" s="101" t="s">
        <v>758</v>
      </c>
      <c r="C8" s="27" t="s">
        <v>759</v>
      </c>
    </row>
    <row r="9" spans="1:8" ht="33.75" customHeight="1" x14ac:dyDescent="0.2">
      <c r="A9" s="128" t="s">
        <v>760</v>
      </c>
      <c r="B9" s="101" t="s">
        <v>761</v>
      </c>
      <c r="C9" s="27" t="s">
        <v>762</v>
      </c>
    </row>
    <row r="10" spans="1:8" ht="33.75" customHeight="1" x14ac:dyDescent="0.2">
      <c r="A10" s="128" t="s">
        <v>763</v>
      </c>
      <c r="B10" s="101" t="s">
        <v>764</v>
      </c>
      <c r="C10" s="27" t="s">
        <v>765</v>
      </c>
    </row>
    <row r="11" spans="1:8" ht="33.75" customHeight="1" x14ac:dyDescent="0.2">
      <c r="A11" s="128" t="s">
        <v>766</v>
      </c>
      <c r="B11" s="101" t="s">
        <v>767</v>
      </c>
      <c r="C11" s="27" t="s">
        <v>768</v>
      </c>
    </row>
    <row r="12" spans="1:8" ht="33.75" customHeight="1" x14ac:dyDescent="0.2">
      <c r="A12" s="128" t="s">
        <v>769</v>
      </c>
      <c r="B12" s="101" t="s">
        <v>770</v>
      </c>
      <c r="C12" s="27" t="s">
        <v>771</v>
      </c>
    </row>
    <row r="13" spans="1:8" ht="33.75" customHeight="1" x14ac:dyDescent="0.2">
      <c r="A13" s="128" t="s">
        <v>772</v>
      </c>
      <c r="B13" s="101" t="s">
        <v>773</v>
      </c>
      <c r="C13" s="27" t="s">
        <v>774</v>
      </c>
    </row>
    <row r="14" spans="1:8" ht="33.75" customHeight="1" x14ac:dyDescent="0.2">
      <c r="A14" s="128" t="s">
        <v>775</v>
      </c>
      <c r="B14" s="101" t="s">
        <v>776</v>
      </c>
      <c r="C14" s="27" t="s">
        <v>777</v>
      </c>
    </row>
    <row r="16" spans="1:8" ht="19.5" customHeight="1" x14ac:dyDescent="0.2">
      <c r="A16" s="162" t="s">
        <v>778</v>
      </c>
      <c r="B16" s="162"/>
      <c r="C16" s="162"/>
      <c r="D16" s="162"/>
      <c r="E16" s="162"/>
      <c r="F16" s="162"/>
    </row>
    <row r="18" spans="1:10" ht="15" customHeight="1" x14ac:dyDescent="0.2">
      <c r="A18" s="25" t="s">
        <v>779</v>
      </c>
      <c r="B18" s="25" t="s">
        <v>780</v>
      </c>
      <c r="C18" s="25" t="s">
        <v>781</v>
      </c>
      <c r="D18" s="25" t="s">
        <v>782</v>
      </c>
      <c r="E18" s="25" t="s">
        <v>783</v>
      </c>
      <c r="F18" s="25" t="s">
        <v>784</v>
      </c>
    </row>
    <row r="19" spans="1:10" ht="43.5" customHeight="1" x14ac:dyDescent="0.2">
      <c r="A19" s="157" t="s">
        <v>785</v>
      </c>
      <c r="B19" s="158">
        <v>10</v>
      </c>
      <c r="C19" s="86" t="s">
        <v>786</v>
      </c>
      <c r="D19" s="86" t="s">
        <v>787</v>
      </c>
      <c r="E19" s="86" t="s">
        <v>788</v>
      </c>
      <c r="F19" s="86" t="s">
        <v>789</v>
      </c>
    </row>
    <row r="20" spans="1:10" ht="43.5" customHeight="1" x14ac:dyDescent="0.2">
      <c r="A20" s="157" t="s">
        <v>790</v>
      </c>
      <c r="B20" s="158">
        <v>15</v>
      </c>
      <c r="C20" s="86" t="s">
        <v>791</v>
      </c>
      <c r="D20" s="86" t="s">
        <v>792</v>
      </c>
      <c r="E20" s="86" t="s">
        <v>793</v>
      </c>
      <c r="F20" s="86" t="s">
        <v>794</v>
      </c>
    </row>
    <row r="21" spans="1:10" ht="43.5" customHeight="1" x14ac:dyDescent="0.2">
      <c r="A21" s="157" t="s">
        <v>795</v>
      </c>
      <c r="B21" s="158">
        <v>15</v>
      </c>
      <c r="C21" s="86" t="s">
        <v>796</v>
      </c>
      <c r="D21" s="86" t="s">
        <v>797</v>
      </c>
      <c r="E21" s="86" t="s">
        <v>798</v>
      </c>
      <c r="F21" s="86" t="s">
        <v>799</v>
      </c>
    </row>
    <row r="22" spans="1:10" ht="43.5" customHeight="1" x14ac:dyDescent="0.2">
      <c r="A22" s="157" t="s">
        <v>800</v>
      </c>
      <c r="B22" s="158">
        <v>15</v>
      </c>
      <c r="C22" s="86" t="s">
        <v>801</v>
      </c>
      <c r="D22" s="86" t="s">
        <v>802</v>
      </c>
      <c r="E22" s="86" t="s">
        <v>803</v>
      </c>
      <c r="F22" s="86" t="s">
        <v>804</v>
      </c>
    </row>
    <row r="23" spans="1:10" ht="43.5" customHeight="1" x14ac:dyDescent="0.2">
      <c r="A23" s="157" t="s">
        <v>805</v>
      </c>
      <c r="B23" s="158">
        <v>10</v>
      </c>
      <c r="C23" s="86" t="s">
        <v>806</v>
      </c>
      <c r="D23" s="86" t="s">
        <v>807</v>
      </c>
      <c r="E23" s="86" t="s">
        <v>808</v>
      </c>
      <c r="F23" s="86" t="s">
        <v>809</v>
      </c>
    </row>
    <row r="24" spans="1:10" ht="43.5" customHeight="1" x14ac:dyDescent="0.2">
      <c r="A24" s="157" t="s">
        <v>810</v>
      </c>
      <c r="B24" s="158">
        <v>10</v>
      </c>
      <c r="C24" s="86" t="s">
        <v>811</v>
      </c>
      <c r="D24" s="86" t="s">
        <v>812</v>
      </c>
      <c r="E24" s="86" t="s">
        <v>813</v>
      </c>
      <c r="F24" s="86" t="s">
        <v>814</v>
      </c>
    </row>
    <row r="25" spans="1:10" ht="43.5" customHeight="1" x14ac:dyDescent="0.2">
      <c r="A25" s="157" t="s">
        <v>815</v>
      </c>
      <c r="B25" s="158">
        <v>15</v>
      </c>
      <c r="C25" s="86" t="s">
        <v>816</v>
      </c>
      <c r="D25" s="86" t="s">
        <v>817</v>
      </c>
      <c r="E25" s="86" t="s">
        <v>818</v>
      </c>
      <c r="F25" s="86" t="s">
        <v>819</v>
      </c>
    </row>
    <row r="26" spans="1:10" ht="43.5" customHeight="1" x14ac:dyDescent="0.2">
      <c r="A26" s="157" t="s">
        <v>820</v>
      </c>
      <c r="B26" s="158">
        <v>10</v>
      </c>
      <c r="C26" s="86" t="s">
        <v>821</v>
      </c>
      <c r="D26" s="86" t="s">
        <v>822</v>
      </c>
      <c r="E26" s="86" t="s">
        <v>823</v>
      </c>
      <c r="F26" s="86" t="s">
        <v>824</v>
      </c>
    </row>
    <row r="27" spans="1:10" ht="15" customHeight="1" x14ac:dyDescent="0.2">
      <c r="A27" s="159" t="s">
        <v>825</v>
      </c>
      <c r="B27" s="160">
        <f>SUM(B19:B26)</f>
        <v>100</v>
      </c>
    </row>
    <row r="29" spans="1:10" ht="33.75" customHeight="1" x14ac:dyDescent="0.2">
      <c r="A29" s="187" t="s">
        <v>826</v>
      </c>
      <c r="B29" s="187"/>
      <c r="C29" s="187"/>
      <c r="D29" s="187"/>
      <c r="E29" s="187"/>
      <c r="F29" s="187"/>
    </row>
    <row r="32" spans="1:10" ht="19.5" customHeight="1" x14ac:dyDescent="0.2">
      <c r="A32" s="4" t="s">
        <v>827</v>
      </c>
      <c r="B32" s="4"/>
      <c r="C32" s="4"/>
      <c r="D32" s="4"/>
      <c r="E32" s="4"/>
      <c r="F32" s="4"/>
      <c r="G32" s="4"/>
      <c r="H32" s="4"/>
      <c r="I32" s="4"/>
      <c r="J32" s="4"/>
    </row>
    <row r="34" spans="1:12" ht="15" customHeight="1" x14ac:dyDescent="0.2">
      <c r="A34" s="54" t="s">
        <v>828</v>
      </c>
      <c r="B34" s="54" t="s">
        <v>829</v>
      </c>
      <c r="C34" s="54" t="s">
        <v>84</v>
      </c>
      <c r="D34" s="54" t="s">
        <v>203</v>
      </c>
      <c r="E34" s="54" t="s">
        <v>830</v>
      </c>
      <c r="F34" s="54" t="s">
        <v>831</v>
      </c>
      <c r="G34" s="54" t="s">
        <v>832</v>
      </c>
      <c r="H34" s="54" t="s">
        <v>833</v>
      </c>
      <c r="I34" s="54" t="s">
        <v>834</v>
      </c>
      <c r="J34" s="54" t="s">
        <v>86</v>
      </c>
      <c r="K34" s="54" t="s">
        <v>835</v>
      </c>
      <c r="L34" s="54" t="s">
        <v>836</v>
      </c>
    </row>
    <row r="35" spans="1:12" ht="24" customHeight="1" x14ac:dyDescent="0.2">
      <c r="A35" s="86" t="s">
        <v>837</v>
      </c>
      <c r="B35" s="161">
        <f>'2. Inputs'!B13</f>
        <v>0.1</v>
      </c>
      <c r="C35" s="86" t="s">
        <v>116</v>
      </c>
      <c r="D35" s="86" t="s">
        <v>838</v>
      </c>
      <c r="E35" s="86" t="s">
        <v>839</v>
      </c>
      <c r="F35" s="86" t="s">
        <v>840</v>
      </c>
      <c r="G35" s="86" t="s">
        <v>841</v>
      </c>
      <c r="H35" s="86" t="s">
        <v>842</v>
      </c>
      <c r="I35" s="86" t="s">
        <v>112</v>
      </c>
      <c r="J35" s="86" t="s">
        <v>117</v>
      </c>
      <c r="K35" s="38" t="s">
        <v>841</v>
      </c>
      <c r="L35" s="45" t="s">
        <v>843</v>
      </c>
    </row>
    <row r="36" spans="1:12" ht="24" customHeight="1" x14ac:dyDescent="0.2">
      <c r="A36" s="86" t="s">
        <v>844</v>
      </c>
      <c r="B36" s="161">
        <f>'2. Inputs'!B14</f>
        <v>2.5000000000000001E-2</v>
      </c>
      <c r="C36" s="86" t="s">
        <v>116</v>
      </c>
      <c r="D36" s="86" t="s">
        <v>845</v>
      </c>
      <c r="E36" s="86" t="s">
        <v>846</v>
      </c>
      <c r="F36" s="86"/>
      <c r="G36" s="86" t="s">
        <v>841</v>
      </c>
      <c r="H36" s="86" t="s">
        <v>842</v>
      </c>
      <c r="I36" s="86" t="s">
        <v>122</v>
      </c>
      <c r="J36" s="86" t="s">
        <v>121</v>
      </c>
      <c r="K36" s="38" t="s">
        <v>841</v>
      </c>
      <c r="L36" s="45" t="s">
        <v>843</v>
      </c>
    </row>
    <row r="37" spans="1:12" ht="24" customHeight="1" x14ac:dyDescent="0.2">
      <c r="A37" s="86" t="s">
        <v>125</v>
      </c>
      <c r="B37" s="161">
        <f>'2. Inputs'!B15</f>
        <v>0.04</v>
      </c>
      <c r="C37" s="86" t="s">
        <v>116</v>
      </c>
      <c r="D37" s="86" t="s">
        <v>847</v>
      </c>
      <c r="E37" s="86" t="s">
        <v>848</v>
      </c>
      <c r="F37" s="86"/>
      <c r="G37" s="86" t="s">
        <v>841</v>
      </c>
      <c r="H37" s="86" t="s">
        <v>842</v>
      </c>
      <c r="I37" s="86" t="s">
        <v>112</v>
      </c>
      <c r="J37" s="86" t="s">
        <v>849</v>
      </c>
      <c r="K37" s="38" t="s">
        <v>841</v>
      </c>
      <c r="L37" s="45" t="s">
        <v>843</v>
      </c>
    </row>
    <row r="38" spans="1:12" ht="24" customHeight="1" x14ac:dyDescent="0.2">
      <c r="A38" s="86" t="s">
        <v>149</v>
      </c>
      <c r="B38" s="161">
        <f>'2. Inputs'!B22</f>
        <v>0.35</v>
      </c>
      <c r="C38" s="86" t="s">
        <v>116</v>
      </c>
      <c r="D38" s="86" t="s">
        <v>850</v>
      </c>
      <c r="E38" s="86" t="s">
        <v>851</v>
      </c>
      <c r="F38" s="86" t="s">
        <v>852</v>
      </c>
      <c r="G38" s="86" t="s">
        <v>841</v>
      </c>
      <c r="H38" s="86" t="s">
        <v>842</v>
      </c>
      <c r="I38" s="86" t="s">
        <v>122</v>
      </c>
      <c r="J38" s="86" t="s">
        <v>121</v>
      </c>
      <c r="K38" s="38" t="s">
        <v>841</v>
      </c>
      <c r="L38" s="45" t="s">
        <v>843</v>
      </c>
    </row>
    <row r="39" spans="1:12" ht="24" customHeight="1" x14ac:dyDescent="0.2">
      <c r="A39" s="86" t="s">
        <v>853</v>
      </c>
      <c r="B39" s="161">
        <f>'2. Inputs'!B26</f>
        <v>0.03</v>
      </c>
      <c r="C39" s="86" t="s">
        <v>116</v>
      </c>
      <c r="D39" s="86" t="s">
        <v>854</v>
      </c>
      <c r="E39" s="86" t="s">
        <v>855</v>
      </c>
      <c r="F39" s="86" t="s">
        <v>856</v>
      </c>
      <c r="G39" s="86" t="s">
        <v>841</v>
      </c>
      <c r="H39" s="86" t="s">
        <v>842</v>
      </c>
      <c r="I39" s="86" t="s">
        <v>112</v>
      </c>
      <c r="J39" s="86" t="s">
        <v>117</v>
      </c>
      <c r="K39" s="38" t="s">
        <v>841</v>
      </c>
      <c r="L39" s="45" t="s">
        <v>843</v>
      </c>
    </row>
    <row r="40" spans="1:12" ht="24" customHeight="1" x14ac:dyDescent="0.2">
      <c r="A40" s="86" t="s">
        <v>690</v>
      </c>
      <c r="B40" s="161">
        <f>'2. Inputs'!B61</f>
        <v>75</v>
      </c>
      <c r="C40" s="86" t="s">
        <v>242</v>
      </c>
      <c r="D40" s="86" t="s">
        <v>857</v>
      </c>
      <c r="E40" s="86" t="s">
        <v>858</v>
      </c>
      <c r="F40" s="86" t="s">
        <v>859</v>
      </c>
      <c r="G40" s="86" t="s">
        <v>841</v>
      </c>
      <c r="H40" s="86" t="s">
        <v>842</v>
      </c>
      <c r="I40" s="86" t="s">
        <v>112</v>
      </c>
      <c r="J40" s="86" t="s">
        <v>117</v>
      </c>
      <c r="K40" s="38" t="s">
        <v>841</v>
      </c>
      <c r="L40" s="45" t="s">
        <v>843</v>
      </c>
    </row>
    <row r="41" spans="1:12" ht="24" customHeight="1" x14ac:dyDescent="0.2">
      <c r="A41" s="86" t="s">
        <v>860</v>
      </c>
      <c r="B41" s="161">
        <f>'2. Inputs'!B62</f>
        <v>25</v>
      </c>
      <c r="C41" s="86" t="s">
        <v>242</v>
      </c>
      <c r="D41" s="86" t="s">
        <v>861</v>
      </c>
      <c r="E41" s="86" t="s">
        <v>862</v>
      </c>
      <c r="F41" s="86" t="s">
        <v>863</v>
      </c>
      <c r="G41" s="86" t="s">
        <v>841</v>
      </c>
      <c r="H41" s="86" t="s">
        <v>842</v>
      </c>
      <c r="I41" s="86" t="s">
        <v>225</v>
      </c>
      <c r="J41" s="86" t="s">
        <v>849</v>
      </c>
      <c r="K41" s="38" t="s">
        <v>841</v>
      </c>
      <c r="L41" s="43" t="s">
        <v>864</v>
      </c>
    </row>
    <row r="42" spans="1:12" ht="24" customHeight="1" x14ac:dyDescent="0.2">
      <c r="A42" s="86" t="s">
        <v>865</v>
      </c>
      <c r="B42" s="161">
        <f>'2. Inputs'!B64</f>
        <v>10</v>
      </c>
      <c r="C42" s="86" t="s">
        <v>242</v>
      </c>
      <c r="D42" s="86" t="s">
        <v>866</v>
      </c>
      <c r="E42" s="86" t="s">
        <v>867</v>
      </c>
      <c r="F42" s="86"/>
      <c r="G42" s="86" t="s">
        <v>841</v>
      </c>
      <c r="H42" s="86" t="s">
        <v>842</v>
      </c>
      <c r="I42" s="86" t="s">
        <v>225</v>
      </c>
      <c r="J42" s="86" t="s">
        <v>117</v>
      </c>
      <c r="K42" s="38" t="s">
        <v>841</v>
      </c>
      <c r="L42" s="43" t="s">
        <v>864</v>
      </c>
    </row>
    <row r="43" spans="1:12" ht="24" customHeight="1" x14ac:dyDescent="0.2">
      <c r="A43" s="86" t="s">
        <v>868</v>
      </c>
      <c r="B43" s="161">
        <f>'2. Inputs'!C68</f>
        <v>2.5000000000000001E-3</v>
      </c>
      <c r="C43" s="86" t="s">
        <v>869</v>
      </c>
      <c r="D43" s="86" t="s">
        <v>870</v>
      </c>
      <c r="E43" s="86" t="s">
        <v>871</v>
      </c>
      <c r="F43" s="86"/>
      <c r="G43" s="86" t="s">
        <v>841</v>
      </c>
      <c r="H43" s="86" t="s">
        <v>842</v>
      </c>
      <c r="I43" s="86" t="s">
        <v>225</v>
      </c>
      <c r="J43" s="86" t="s">
        <v>111</v>
      </c>
      <c r="K43" s="38" t="s">
        <v>841</v>
      </c>
      <c r="L43" s="43" t="s">
        <v>864</v>
      </c>
    </row>
    <row r="44" spans="1:12" ht="24" customHeight="1" x14ac:dyDescent="0.2">
      <c r="A44" s="86" t="s">
        <v>872</v>
      </c>
      <c r="B44" s="161">
        <f>'2. Inputs'!B75</f>
        <v>3000000</v>
      </c>
      <c r="C44" s="86" t="s">
        <v>278</v>
      </c>
      <c r="D44" s="86" t="s">
        <v>873</v>
      </c>
      <c r="E44" s="86"/>
      <c r="F44" s="86"/>
      <c r="G44" s="86"/>
      <c r="H44" s="86" t="s">
        <v>864</v>
      </c>
      <c r="I44" s="86" t="s">
        <v>225</v>
      </c>
      <c r="J44" s="86" t="s">
        <v>279</v>
      </c>
      <c r="K44" s="38" t="s">
        <v>841</v>
      </c>
      <c r="L44" s="56" t="s">
        <v>874</v>
      </c>
    </row>
    <row r="45" spans="1:12" ht="24" customHeight="1" x14ac:dyDescent="0.2">
      <c r="A45" s="86" t="s">
        <v>875</v>
      </c>
      <c r="B45" s="161">
        <f>'2. Inputs'!E48</f>
        <v>245000</v>
      </c>
      <c r="C45" s="86" t="s">
        <v>876</v>
      </c>
      <c r="D45" s="86" t="s">
        <v>877</v>
      </c>
      <c r="E45" s="86"/>
      <c r="F45" s="86"/>
      <c r="G45" s="86" t="s">
        <v>878</v>
      </c>
      <c r="H45" s="86" t="s">
        <v>864</v>
      </c>
      <c r="I45" s="86" t="s">
        <v>225</v>
      </c>
      <c r="J45" s="86" t="s">
        <v>279</v>
      </c>
      <c r="K45" s="38" t="s">
        <v>841</v>
      </c>
      <c r="L45" s="56" t="s">
        <v>874</v>
      </c>
    </row>
    <row r="46" spans="1:12" ht="24" customHeight="1" x14ac:dyDescent="0.2">
      <c r="A46" s="86" t="s">
        <v>879</v>
      </c>
      <c r="B46" s="161">
        <f>'2. Inputs'!B76</f>
        <v>250000</v>
      </c>
      <c r="C46" s="86" t="s">
        <v>283</v>
      </c>
      <c r="D46" s="86" t="s">
        <v>873</v>
      </c>
      <c r="E46" s="86"/>
      <c r="F46" s="86"/>
      <c r="G46" s="86"/>
      <c r="H46" s="86" t="s">
        <v>864</v>
      </c>
      <c r="I46" s="86" t="s">
        <v>225</v>
      </c>
      <c r="J46" s="86" t="s">
        <v>279</v>
      </c>
      <c r="K46" s="38" t="s">
        <v>841</v>
      </c>
      <c r="L46" s="56" t="s">
        <v>874</v>
      </c>
    </row>
    <row r="47" spans="1:12" ht="24" customHeight="1" x14ac:dyDescent="0.2">
      <c r="A47" s="86" t="s">
        <v>880</v>
      </c>
      <c r="B47" s="161">
        <f>'2. Inputs'!B53</f>
        <v>8000000</v>
      </c>
      <c r="C47" s="86" t="s">
        <v>174</v>
      </c>
      <c r="D47" s="86" t="s">
        <v>881</v>
      </c>
      <c r="E47" s="86"/>
      <c r="F47" s="86"/>
      <c r="G47" s="86" t="s">
        <v>878</v>
      </c>
      <c r="H47" s="86" t="s">
        <v>842</v>
      </c>
      <c r="I47" s="86" t="s">
        <v>225</v>
      </c>
      <c r="J47" s="86" t="s">
        <v>111</v>
      </c>
      <c r="K47" s="38" t="s">
        <v>841</v>
      </c>
      <c r="L47" s="43" t="s">
        <v>864</v>
      </c>
    </row>
    <row r="48" spans="1:12" ht="24" customHeight="1" x14ac:dyDescent="0.2">
      <c r="A48" s="86" t="s">
        <v>882</v>
      </c>
      <c r="B48" s="161">
        <f>'2. Inputs'!C44</f>
        <v>19099017</v>
      </c>
      <c r="C48" s="86" t="s">
        <v>174</v>
      </c>
      <c r="D48" s="86" t="s">
        <v>883</v>
      </c>
      <c r="E48" s="86"/>
      <c r="F48" s="86"/>
      <c r="G48" s="86" t="s">
        <v>878</v>
      </c>
      <c r="H48" s="86" t="s">
        <v>842</v>
      </c>
      <c r="I48" s="86" t="s">
        <v>122</v>
      </c>
      <c r="J48" s="86" t="s">
        <v>121</v>
      </c>
      <c r="K48" s="38" t="s">
        <v>841</v>
      </c>
      <c r="L48" s="45" t="s">
        <v>843</v>
      </c>
    </row>
    <row r="49" spans="1:12" ht="24" customHeight="1" x14ac:dyDescent="0.2">
      <c r="A49" s="86" t="s">
        <v>884</v>
      </c>
      <c r="B49" s="161">
        <f>'2. Inputs'!B33</f>
        <v>11</v>
      </c>
      <c r="C49" s="86" t="s">
        <v>174</v>
      </c>
      <c r="D49" s="86" t="s">
        <v>113</v>
      </c>
      <c r="E49" s="86"/>
      <c r="F49" s="86"/>
      <c r="G49" s="86" t="s">
        <v>878</v>
      </c>
      <c r="H49" s="86" t="s">
        <v>842</v>
      </c>
      <c r="I49" s="86" t="s">
        <v>122</v>
      </c>
      <c r="J49" s="86" t="s">
        <v>121</v>
      </c>
      <c r="K49" s="38" t="s">
        <v>841</v>
      </c>
      <c r="L49" s="45" t="s">
        <v>843</v>
      </c>
    </row>
    <row r="50" spans="1:12" ht="24" customHeight="1" x14ac:dyDescent="0.2">
      <c r="A50" s="86" t="s">
        <v>885</v>
      </c>
      <c r="B50" s="161">
        <f>'2. Inputs'!B88</f>
        <v>15000</v>
      </c>
      <c r="C50" s="86" t="s">
        <v>174</v>
      </c>
      <c r="D50" s="86" t="s">
        <v>886</v>
      </c>
      <c r="E50" s="86"/>
      <c r="F50" s="86" t="s">
        <v>887</v>
      </c>
      <c r="G50" s="86" t="s">
        <v>841</v>
      </c>
      <c r="H50" s="86" t="s">
        <v>842</v>
      </c>
      <c r="I50" s="86" t="s">
        <v>225</v>
      </c>
      <c r="J50" s="86" t="s">
        <v>111</v>
      </c>
      <c r="K50" s="38" t="s">
        <v>841</v>
      </c>
      <c r="L50" s="43" t="s">
        <v>864</v>
      </c>
    </row>
    <row r="52" spans="1:12" ht="24" customHeight="1" x14ac:dyDescent="0.2">
      <c r="A52" s="3" t="s">
        <v>888</v>
      </c>
      <c r="B52" s="3"/>
      <c r="C52" s="3"/>
      <c r="D52" s="3"/>
      <c r="E52" s="3"/>
      <c r="F52" s="3"/>
      <c r="G52" s="3"/>
      <c r="H52" s="3"/>
      <c r="I52" s="3"/>
      <c r="J52" s="3"/>
    </row>
  </sheetData>
  <mergeCells count="5">
    <mergeCell ref="A2:C2"/>
    <mergeCell ref="A16:F16"/>
    <mergeCell ref="A29:F29"/>
    <mergeCell ref="A32:J32"/>
    <mergeCell ref="A52:J5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1. Caso y ruta</vt:lpstr>
      <vt:lpstr>2. Inputs</vt:lpstr>
      <vt:lpstr>3. Modelo financiero</vt:lpstr>
      <vt:lpstr>4. Impactos e internalización</vt:lpstr>
      <vt:lpstr>5. Decisión e incremental</vt:lpstr>
      <vt:lpstr>6. Sensibilidades</vt:lpstr>
      <vt:lpstr>7. Dashboard</vt:lpstr>
      <vt:lpstr>8. Actividades y evaluación</vt:lpstr>
      <vt:lpstr>'7. Dashboard'!Área_de_impresión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ASUS</dc:creator>
  <dc:description/>
  <cp:lastModifiedBy>Jhon Alexander Jimenez Triviño</cp:lastModifiedBy>
  <cp:revision>6</cp:revision>
  <dcterms:created xsi:type="dcterms:W3CDTF">2026-07-13T05:49:59Z</dcterms:created>
  <dcterms:modified xsi:type="dcterms:W3CDTF">2026-07-13T11:49:17Z</dcterms:modified>
  <dc:language>en-US</dc:language>
</cp:coreProperties>
</file>